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4 Wydzial Ksiegowosci\SF_UM_2024\SF_UM_2024_W1_do_publ\"/>
    </mc:Choice>
  </mc:AlternateContent>
  <bookViews>
    <workbookView xWindow="0" yWindow="0" windowWidth="28800" windowHeight="11400"/>
  </bookViews>
  <sheets>
    <sheet name="Bilans_31.12.2024" sheetId="1" r:id="rId1"/>
    <sheet name="RZiS_31.12.2024" sheetId="2" r:id="rId2"/>
    <sheet name="ZZwFJ_31.12.2024" sheetId="3" r:id="rId3"/>
    <sheet name="II.Dodatk_info_31.12.2024" sheetId="5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3" i="5" l="1"/>
  <c r="C673" i="5"/>
  <c r="F664" i="5"/>
  <c r="E664" i="5"/>
  <c r="D664" i="5"/>
  <c r="C664" i="5"/>
  <c r="F663" i="5"/>
  <c r="E663" i="5"/>
  <c r="D663" i="5"/>
  <c r="F662" i="5"/>
  <c r="E662" i="5"/>
  <c r="C662" i="5"/>
  <c r="F661" i="5"/>
  <c r="E661" i="5"/>
  <c r="D661" i="5"/>
  <c r="F660" i="5"/>
  <c r="E660" i="5"/>
  <c r="D660" i="5"/>
  <c r="C660" i="5"/>
  <c r="F659" i="5"/>
  <c r="E659" i="5"/>
  <c r="D659" i="5"/>
  <c r="C659" i="5"/>
  <c r="F658" i="5"/>
  <c r="E658" i="5"/>
  <c r="D658" i="5"/>
  <c r="C658" i="5"/>
  <c r="F657" i="5"/>
  <c r="E657" i="5"/>
  <c r="D657" i="5"/>
  <c r="C657" i="5"/>
  <c r="F656" i="5"/>
  <c r="E656" i="5"/>
  <c r="D656" i="5"/>
  <c r="C656" i="5"/>
  <c r="F655" i="5"/>
  <c r="E655" i="5"/>
  <c r="D655" i="5"/>
  <c r="C655" i="5"/>
  <c r="F654" i="5"/>
  <c r="E654" i="5"/>
  <c r="C654" i="5"/>
  <c r="F653" i="5"/>
  <c r="E653" i="5"/>
  <c r="D653" i="5"/>
  <c r="C653" i="5"/>
  <c r="F652" i="5"/>
  <c r="E652" i="5"/>
  <c r="D652" i="5"/>
  <c r="C652" i="5"/>
  <c r="F651" i="5"/>
  <c r="E651" i="5"/>
  <c r="D651" i="5"/>
  <c r="C651" i="5"/>
  <c r="F650" i="5"/>
  <c r="E650" i="5"/>
  <c r="D650" i="5"/>
  <c r="C650" i="5"/>
  <c r="F649" i="5"/>
  <c r="E649" i="5"/>
  <c r="D649" i="5"/>
  <c r="C649" i="5"/>
  <c r="F648" i="5"/>
  <c r="E648" i="5"/>
  <c r="D648" i="5"/>
  <c r="F647" i="5"/>
  <c r="E647" i="5"/>
  <c r="D647" i="5"/>
  <c r="C647" i="5"/>
  <c r="F646" i="5"/>
  <c r="E646" i="5"/>
  <c r="D646" i="5"/>
  <c r="C646" i="5"/>
  <c r="F645" i="5"/>
  <c r="E645" i="5"/>
  <c r="F644" i="5"/>
  <c r="E644" i="5"/>
  <c r="D644" i="5"/>
  <c r="C644" i="5"/>
  <c r="F643" i="5"/>
  <c r="E643" i="5"/>
  <c r="C643" i="5"/>
  <c r="F642" i="5"/>
  <c r="D642" i="5"/>
  <c r="C642" i="5"/>
  <c r="F641" i="5"/>
  <c r="E641" i="5"/>
  <c r="D641" i="5"/>
  <c r="F640" i="5"/>
  <c r="F665" i="5" s="1"/>
  <c r="E640" i="5"/>
  <c r="E665" i="5" s="1"/>
  <c r="D640" i="5"/>
  <c r="D665" i="5" s="1"/>
  <c r="C640" i="5"/>
  <c r="C665" i="5" s="1"/>
  <c r="F629" i="5"/>
  <c r="E629" i="5"/>
  <c r="F628" i="5"/>
  <c r="E628" i="5"/>
  <c r="F627" i="5"/>
  <c r="E627" i="5"/>
  <c r="F626" i="5"/>
  <c r="E626" i="5"/>
  <c r="F625" i="5"/>
  <c r="E625" i="5"/>
  <c r="F624" i="5"/>
  <c r="E624" i="5"/>
  <c r="F623" i="5"/>
  <c r="E623" i="5"/>
  <c r="F622" i="5"/>
  <c r="E622" i="5"/>
  <c r="F621" i="5"/>
  <c r="E621" i="5"/>
  <c r="F620" i="5"/>
  <c r="F630" i="5" s="1"/>
  <c r="E620" i="5"/>
  <c r="E630" i="5" s="1"/>
  <c r="F613" i="5"/>
  <c r="E613" i="5"/>
  <c r="F612" i="5"/>
  <c r="E612" i="5"/>
  <c r="F611" i="5"/>
  <c r="E611" i="5"/>
  <c r="F610" i="5"/>
  <c r="E610" i="5"/>
  <c r="F609" i="5"/>
  <c r="E609" i="5"/>
  <c r="F608" i="5"/>
  <c r="E608" i="5"/>
  <c r="F607" i="5"/>
  <c r="E607" i="5"/>
  <c r="F606" i="5"/>
  <c r="E606" i="5"/>
  <c r="F605" i="5"/>
  <c r="E605" i="5"/>
  <c r="F604" i="5"/>
  <c r="E604" i="5"/>
  <c r="F603" i="5"/>
  <c r="E603" i="5"/>
  <c r="F602" i="5"/>
  <c r="F614" i="5" s="1"/>
  <c r="E602" i="5"/>
  <c r="E614" i="5" s="1"/>
  <c r="F593" i="5"/>
  <c r="E593" i="5"/>
  <c r="F592" i="5"/>
  <c r="E592" i="5"/>
  <c r="F591" i="5"/>
  <c r="E591" i="5"/>
  <c r="F590" i="5"/>
  <c r="E590" i="5"/>
  <c r="F589" i="5"/>
  <c r="E589" i="5"/>
  <c r="F588" i="5"/>
  <c r="E588" i="5"/>
  <c r="F587" i="5"/>
  <c r="E587" i="5"/>
  <c r="F586" i="5"/>
  <c r="E586" i="5"/>
  <c r="F585" i="5"/>
  <c r="E585" i="5"/>
  <c r="F584" i="5"/>
  <c r="E584" i="5"/>
  <c r="F583" i="5"/>
  <c r="E583" i="5"/>
  <c r="F582" i="5"/>
  <c r="F594" i="5" s="1"/>
  <c r="E582" i="5"/>
  <c r="E594" i="5" s="1"/>
  <c r="F573" i="5"/>
  <c r="E573" i="5"/>
  <c r="F572" i="5"/>
  <c r="E572" i="5"/>
  <c r="F571" i="5"/>
  <c r="E571" i="5"/>
  <c r="F570" i="5"/>
  <c r="E570" i="5"/>
  <c r="F569" i="5"/>
  <c r="E569" i="5"/>
  <c r="F568" i="5"/>
  <c r="E568" i="5"/>
  <c r="F567" i="5"/>
  <c r="E567" i="5"/>
  <c r="F566" i="5"/>
  <c r="E566" i="5"/>
  <c r="F565" i="5"/>
  <c r="E565" i="5"/>
  <c r="F564" i="5"/>
  <c r="E564" i="5"/>
  <c r="F563" i="5"/>
  <c r="E563" i="5"/>
  <c r="F562" i="5"/>
  <c r="E562" i="5"/>
  <c r="F561" i="5"/>
  <c r="E561" i="5"/>
  <c r="F560" i="5"/>
  <c r="E560" i="5"/>
  <c r="F559" i="5"/>
  <c r="E559" i="5"/>
  <c r="F558" i="5"/>
  <c r="F574" i="5" s="1"/>
  <c r="E558" i="5"/>
  <c r="E574" i="5" s="1"/>
  <c r="D549" i="5"/>
  <c r="C549" i="5"/>
  <c r="D548" i="5"/>
  <c r="C548" i="5"/>
  <c r="D547" i="5"/>
  <c r="C547" i="5"/>
  <c r="D546" i="5"/>
  <c r="C546" i="5"/>
  <c r="D545" i="5"/>
  <c r="C545" i="5"/>
  <c r="D544" i="5"/>
  <c r="C544" i="5"/>
  <c r="D543" i="5"/>
  <c r="C543" i="5"/>
  <c r="D542" i="5"/>
  <c r="C542" i="5"/>
  <c r="D541" i="5"/>
  <c r="C541" i="5"/>
  <c r="D540" i="5"/>
  <c r="D550" i="5" s="1"/>
  <c r="C540" i="5"/>
  <c r="C550" i="5" s="1"/>
  <c r="F530" i="5"/>
  <c r="E530" i="5"/>
  <c r="F529" i="5"/>
  <c r="E529" i="5"/>
  <c r="F528" i="5"/>
  <c r="E528" i="5"/>
  <c r="F527" i="5"/>
  <c r="E527" i="5"/>
  <c r="F526" i="5"/>
  <c r="E526" i="5"/>
  <c r="F525" i="5"/>
  <c r="E525" i="5"/>
  <c r="F518" i="5"/>
  <c r="E518" i="5"/>
  <c r="F517" i="5"/>
  <c r="E517" i="5"/>
  <c r="F516" i="5"/>
  <c r="E516" i="5"/>
  <c r="F515" i="5"/>
  <c r="E515" i="5"/>
  <c r="F514" i="5"/>
  <c r="E514" i="5"/>
  <c r="F513" i="5"/>
  <c r="E513" i="5"/>
  <c r="F512" i="5"/>
  <c r="E512" i="5"/>
  <c r="F511" i="5"/>
  <c r="E511" i="5"/>
  <c r="F510" i="5"/>
  <c r="E510" i="5"/>
  <c r="F509" i="5"/>
  <c r="E509" i="5"/>
  <c r="F508" i="5"/>
  <c r="E508" i="5"/>
  <c r="F507" i="5"/>
  <c r="E507" i="5"/>
  <c r="F506" i="5"/>
  <c r="E506" i="5"/>
  <c r="F505" i="5"/>
  <c r="E505" i="5"/>
  <c r="F504" i="5"/>
  <c r="E504" i="5"/>
  <c r="F503" i="5"/>
  <c r="E503" i="5"/>
  <c r="F502" i="5"/>
  <c r="E502" i="5"/>
  <c r="F501" i="5"/>
  <c r="E501" i="5"/>
  <c r="F500" i="5"/>
  <c r="E500" i="5"/>
  <c r="F499" i="5"/>
  <c r="E499" i="5"/>
  <c r="F498" i="5"/>
  <c r="E498" i="5"/>
  <c r="F497" i="5"/>
  <c r="E497" i="5"/>
  <c r="F496" i="5"/>
  <c r="E496" i="5"/>
  <c r="F495" i="5"/>
  <c r="E495" i="5"/>
  <c r="F494" i="5"/>
  <c r="E494" i="5"/>
  <c r="F493" i="5"/>
  <c r="E493" i="5"/>
  <c r="F492" i="5"/>
  <c r="E492" i="5"/>
  <c r="F491" i="5"/>
  <c r="E491" i="5"/>
  <c r="F490" i="5"/>
  <c r="E490" i="5"/>
  <c r="F489" i="5"/>
  <c r="E489" i="5"/>
  <c r="F488" i="5"/>
  <c r="E488" i="5"/>
  <c r="F487" i="5"/>
  <c r="E487" i="5"/>
  <c r="F486" i="5"/>
  <c r="E486" i="5"/>
  <c r="F485" i="5"/>
  <c r="E485" i="5"/>
  <c r="F484" i="5"/>
  <c r="E484" i="5"/>
  <c r="F483" i="5"/>
  <c r="E483" i="5"/>
  <c r="F482" i="5"/>
  <c r="F531" i="5" s="1"/>
  <c r="E482" i="5"/>
  <c r="E531" i="5" s="1"/>
  <c r="E470" i="5"/>
  <c r="D470" i="5"/>
  <c r="E469" i="5"/>
  <c r="D469" i="5"/>
  <c r="E468" i="5"/>
  <c r="D468" i="5"/>
  <c r="E467" i="5"/>
  <c r="D467" i="5"/>
  <c r="E466" i="5"/>
  <c r="D466" i="5"/>
  <c r="E465" i="5"/>
  <c r="D465" i="5"/>
  <c r="E464" i="5"/>
  <c r="D464" i="5"/>
  <c r="E463" i="5"/>
  <c r="D463" i="5"/>
  <c r="E462" i="5"/>
  <c r="D462" i="5"/>
  <c r="E461" i="5"/>
  <c r="D461" i="5"/>
  <c r="E460" i="5"/>
  <c r="D460" i="5"/>
  <c r="E459" i="5"/>
  <c r="D459" i="5"/>
  <c r="D424" i="5"/>
  <c r="C424" i="5"/>
  <c r="D423" i="5"/>
  <c r="C423" i="5"/>
  <c r="D422" i="5"/>
  <c r="C422" i="5"/>
  <c r="D421" i="5"/>
  <c r="C421" i="5"/>
  <c r="D420" i="5"/>
  <c r="C420" i="5"/>
  <c r="D419" i="5"/>
  <c r="C419" i="5"/>
  <c r="D418" i="5"/>
  <c r="C418" i="5"/>
  <c r="D417" i="5"/>
  <c r="C417" i="5"/>
  <c r="D416" i="5"/>
  <c r="C416" i="5"/>
  <c r="D415" i="5"/>
  <c r="C415" i="5"/>
  <c r="D414" i="5"/>
  <c r="C414" i="5"/>
  <c r="D413" i="5"/>
  <c r="D425" i="5" s="1"/>
  <c r="C413" i="5"/>
  <c r="C425" i="5" s="1"/>
  <c r="H403" i="5"/>
  <c r="G403" i="5"/>
  <c r="F403" i="5"/>
  <c r="E403" i="5"/>
  <c r="D403" i="5"/>
  <c r="C403" i="5"/>
  <c r="B403" i="5"/>
  <c r="I403" i="5" s="1"/>
  <c r="H402" i="5"/>
  <c r="G402" i="5"/>
  <c r="F402" i="5"/>
  <c r="E402" i="5"/>
  <c r="D402" i="5"/>
  <c r="C402" i="5"/>
  <c r="B402" i="5"/>
  <c r="I402" i="5" s="1"/>
  <c r="H401" i="5"/>
  <c r="H404" i="5" s="1"/>
  <c r="G401" i="5"/>
  <c r="G404" i="5" s="1"/>
  <c r="F401" i="5"/>
  <c r="F404" i="5" s="1"/>
  <c r="E401" i="5"/>
  <c r="E404" i="5" s="1"/>
  <c r="D401" i="5"/>
  <c r="D404" i="5" s="1"/>
  <c r="C401" i="5"/>
  <c r="C404" i="5" s="1"/>
  <c r="B401" i="5"/>
  <c r="I401" i="5" s="1"/>
  <c r="H399" i="5"/>
  <c r="G399" i="5"/>
  <c r="F399" i="5"/>
  <c r="E399" i="5"/>
  <c r="D399" i="5"/>
  <c r="C399" i="5"/>
  <c r="B399" i="5"/>
  <c r="I399" i="5" s="1"/>
  <c r="H398" i="5"/>
  <c r="G398" i="5"/>
  <c r="F398" i="5"/>
  <c r="E398" i="5"/>
  <c r="D398" i="5"/>
  <c r="C398" i="5"/>
  <c r="I398" i="5" s="1"/>
  <c r="B398" i="5"/>
  <c r="H397" i="5"/>
  <c r="G397" i="5"/>
  <c r="F397" i="5"/>
  <c r="E397" i="5"/>
  <c r="D397" i="5"/>
  <c r="C397" i="5"/>
  <c r="I397" i="5" s="1"/>
  <c r="B397" i="5"/>
  <c r="H396" i="5"/>
  <c r="G396" i="5"/>
  <c r="F396" i="5"/>
  <c r="E396" i="5"/>
  <c r="D396" i="5"/>
  <c r="C396" i="5"/>
  <c r="I396" i="5" s="1"/>
  <c r="I395" i="5" s="1"/>
  <c r="B396" i="5"/>
  <c r="H395" i="5"/>
  <c r="G395" i="5"/>
  <c r="F395" i="5"/>
  <c r="E395" i="5"/>
  <c r="D395" i="5"/>
  <c r="C395" i="5"/>
  <c r="B395" i="5"/>
  <c r="H394" i="5"/>
  <c r="G394" i="5"/>
  <c r="F394" i="5"/>
  <c r="E394" i="5"/>
  <c r="D394" i="5"/>
  <c r="C394" i="5"/>
  <c r="I394" i="5" s="1"/>
  <c r="B394" i="5"/>
  <c r="H393" i="5"/>
  <c r="G393" i="5"/>
  <c r="F393" i="5"/>
  <c r="E393" i="5"/>
  <c r="D393" i="5"/>
  <c r="C393" i="5"/>
  <c r="I393" i="5" s="1"/>
  <c r="B393" i="5"/>
  <c r="H392" i="5"/>
  <c r="G392" i="5"/>
  <c r="F392" i="5"/>
  <c r="E392" i="5"/>
  <c r="D392" i="5"/>
  <c r="C392" i="5"/>
  <c r="I392" i="5" s="1"/>
  <c r="I391" i="5" s="1"/>
  <c r="B392" i="5"/>
  <c r="H391" i="5"/>
  <c r="G391" i="5"/>
  <c r="F391" i="5"/>
  <c r="E391" i="5"/>
  <c r="D391" i="5"/>
  <c r="C391" i="5"/>
  <c r="B391" i="5"/>
  <c r="H390" i="5"/>
  <c r="H405" i="5" s="1"/>
  <c r="G390" i="5"/>
  <c r="G405" i="5" s="1"/>
  <c r="F390" i="5"/>
  <c r="F405" i="5" s="1"/>
  <c r="E390" i="5"/>
  <c r="E405" i="5" s="1"/>
  <c r="D390" i="5"/>
  <c r="D405" i="5" s="1"/>
  <c r="C390" i="5"/>
  <c r="C405" i="5" s="1"/>
  <c r="B390" i="5"/>
  <c r="B405" i="5" s="1"/>
  <c r="D374" i="5"/>
  <c r="C374" i="5"/>
  <c r="D367" i="5"/>
  <c r="D368" i="5" s="1"/>
  <c r="C367" i="5"/>
  <c r="C368" i="5" s="1"/>
  <c r="D360" i="5"/>
  <c r="C360" i="5"/>
  <c r="D359" i="5"/>
  <c r="C359" i="5"/>
  <c r="D358" i="5"/>
  <c r="C358" i="5"/>
  <c r="D357" i="5"/>
  <c r="C357" i="5"/>
  <c r="D356" i="5"/>
  <c r="C356" i="5"/>
  <c r="D355" i="5"/>
  <c r="C355" i="5"/>
  <c r="D354" i="5"/>
  <c r="C354" i="5"/>
  <c r="D353" i="5"/>
  <c r="C353" i="5"/>
  <c r="D352" i="5"/>
  <c r="C352" i="5"/>
  <c r="D351" i="5"/>
  <c r="C351" i="5"/>
  <c r="D350" i="5"/>
  <c r="C350" i="5"/>
  <c r="D349" i="5"/>
  <c r="C349" i="5"/>
  <c r="D348" i="5"/>
  <c r="D361" i="5" s="1"/>
  <c r="C348" i="5"/>
  <c r="C361" i="5" s="1"/>
  <c r="D334" i="5"/>
  <c r="C334" i="5"/>
  <c r="D333" i="5"/>
  <c r="C333" i="5"/>
  <c r="D332" i="5"/>
  <c r="C332" i="5"/>
  <c r="D331" i="5"/>
  <c r="C331" i="5"/>
  <c r="D330" i="5"/>
  <c r="C330" i="5"/>
  <c r="D329" i="5"/>
  <c r="C329" i="5"/>
  <c r="D328" i="5"/>
  <c r="C328" i="5"/>
  <c r="D327" i="5"/>
  <c r="C327" i="5"/>
  <c r="D326" i="5"/>
  <c r="C326" i="5"/>
  <c r="D325" i="5"/>
  <c r="C325" i="5"/>
  <c r="D324" i="5"/>
  <c r="C324" i="5"/>
  <c r="D323" i="5"/>
  <c r="C323" i="5"/>
  <c r="D322" i="5"/>
  <c r="C322" i="5"/>
  <c r="D321" i="5"/>
  <c r="C321" i="5"/>
  <c r="D320" i="5"/>
  <c r="C320" i="5"/>
  <c r="D319" i="5"/>
  <c r="C319" i="5"/>
  <c r="D318" i="5"/>
  <c r="C318" i="5"/>
  <c r="D317" i="5"/>
  <c r="C317" i="5"/>
  <c r="D316" i="5"/>
  <c r="C316" i="5"/>
  <c r="D315" i="5"/>
  <c r="C315" i="5"/>
  <c r="D314" i="5"/>
  <c r="C314" i="5"/>
  <c r="D313" i="5"/>
  <c r="D335" i="5" s="1"/>
  <c r="C313" i="5"/>
  <c r="C335" i="5" s="1"/>
  <c r="D305" i="5"/>
  <c r="C305" i="5"/>
  <c r="D304" i="5"/>
  <c r="C304" i="5"/>
  <c r="D303" i="5"/>
  <c r="C303" i="5"/>
  <c r="D302" i="5"/>
  <c r="C302" i="5"/>
  <c r="D301" i="5"/>
  <c r="C301" i="5"/>
  <c r="D300" i="5"/>
  <c r="C300" i="5"/>
  <c r="D299" i="5"/>
  <c r="C299" i="5"/>
  <c r="D298" i="5"/>
  <c r="C298" i="5"/>
  <c r="D297" i="5"/>
  <c r="C297" i="5"/>
  <c r="D296" i="5"/>
  <c r="D306" i="5" s="1"/>
  <c r="C296" i="5"/>
  <c r="C306" i="5" s="1"/>
  <c r="D289" i="5"/>
  <c r="C289" i="5"/>
  <c r="D288" i="5"/>
  <c r="C288" i="5"/>
  <c r="D287" i="5"/>
  <c r="C287" i="5"/>
  <c r="D286" i="5"/>
  <c r="C286" i="5"/>
  <c r="D285" i="5"/>
  <c r="C285" i="5"/>
  <c r="D284" i="5"/>
  <c r="C284" i="5"/>
  <c r="D283" i="5"/>
  <c r="C283" i="5"/>
  <c r="D282" i="5"/>
  <c r="C282" i="5"/>
  <c r="D281" i="5"/>
  <c r="D290" i="5" s="1"/>
  <c r="C281" i="5"/>
  <c r="C290" i="5" s="1"/>
  <c r="D256" i="5"/>
  <c r="C256" i="5"/>
  <c r="D255" i="5"/>
  <c r="C255" i="5"/>
  <c r="D254" i="5"/>
  <c r="C254" i="5"/>
  <c r="D253" i="5"/>
  <c r="C253" i="5"/>
  <c r="D252" i="5"/>
  <c r="C252" i="5"/>
  <c r="D251" i="5"/>
  <c r="C251" i="5"/>
  <c r="D250" i="5"/>
  <c r="C250" i="5"/>
  <c r="D249" i="5"/>
  <c r="C249" i="5"/>
  <c r="D248" i="5"/>
  <c r="C248" i="5"/>
  <c r="D247" i="5"/>
  <c r="C247" i="5"/>
  <c r="D246" i="5"/>
  <c r="C246" i="5"/>
  <c r="D245" i="5"/>
  <c r="D257" i="5" s="1"/>
  <c r="C245" i="5"/>
  <c r="C257" i="5" s="1"/>
  <c r="G237" i="5"/>
  <c r="F237" i="5"/>
  <c r="E237" i="5"/>
  <c r="D237" i="5"/>
  <c r="H237" i="5" s="1"/>
  <c r="G236" i="5"/>
  <c r="F236" i="5"/>
  <c r="E236" i="5"/>
  <c r="D236" i="5"/>
  <c r="H236" i="5" s="1"/>
  <c r="G235" i="5"/>
  <c r="F235" i="5"/>
  <c r="E235" i="5"/>
  <c r="D235" i="5"/>
  <c r="G234" i="5"/>
  <c r="F234" i="5"/>
  <c r="E234" i="5"/>
  <c r="D234" i="5"/>
  <c r="H234" i="5" s="1"/>
  <c r="G233" i="5"/>
  <c r="F233" i="5"/>
  <c r="E233" i="5"/>
  <c r="D233" i="5"/>
  <c r="H233" i="5" s="1"/>
  <c r="G232" i="5"/>
  <c r="F232" i="5"/>
  <c r="E232" i="5"/>
  <c r="D232" i="5"/>
  <c r="H232" i="5" s="1"/>
  <c r="G231" i="5"/>
  <c r="F231" i="5"/>
  <c r="E231" i="5"/>
  <c r="D231" i="5"/>
  <c r="G230" i="5"/>
  <c r="F230" i="5"/>
  <c r="E230" i="5"/>
  <c r="D230" i="5"/>
  <c r="D238" i="5" s="1"/>
  <c r="G229" i="5"/>
  <c r="F229" i="5"/>
  <c r="E229" i="5"/>
  <c r="D229" i="5"/>
  <c r="H229" i="5" s="1"/>
  <c r="G228" i="5"/>
  <c r="G238" i="5" s="1"/>
  <c r="F228" i="5"/>
  <c r="F238" i="5" s="1"/>
  <c r="E228" i="5"/>
  <c r="E238" i="5" s="1"/>
  <c r="D228" i="5"/>
  <c r="H228" i="5" s="1"/>
  <c r="H221" i="5"/>
  <c r="F221" i="5"/>
  <c r="H220" i="5"/>
  <c r="G220" i="5"/>
  <c r="F220" i="5"/>
  <c r="E220" i="5"/>
  <c r="I220" i="5" s="1"/>
  <c r="H219" i="5"/>
  <c r="G219" i="5"/>
  <c r="F219" i="5"/>
  <c r="E219" i="5"/>
  <c r="I219" i="5" s="1"/>
  <c r="H218" i="5"/>
  <c r="G218" i="5"/>
  <c r="F218" i="5"/>
  <c r="E218" i="5"/>
  <c r="I218" i="5" s="1"/>
  <c r="H217" i="5"/>
  <c r="G217" i="5"/>
  <c r="F217" i="5"/>
  <c r="E217" i="5"/>
  <c r="H216" i="5"/>
  <c r="G216" i="5"/>
  <c r="G221" i="5" s="1"/>
  <c r="F216" i="5"/>
  <c r="E216" i="5"/>
  <c r="E221" i="5" s="1"/>
  <c r="G206" i="5"/>
  <c r="F206" i="5"/>
  <c r="E206" i="5"/>
  <c r="C206" i="5"/>
  <c r="I205" i="5"/>
  <c r="H205" i="5"/>
  <c r="G205" i="5"/>
  <c r="F205" i="5"/>
  <c r="E205" i="5"/>
  <c r="D205" i="5"/>
  <c r="C205" i="5"/>
  <c r="G204" i="5"/>
  <c r="F204" i="5"/>
  <c r="E204" i="5"/>
  <c r="D204" i="5"/>
  <c r="C204" i="5"/>
  <c r="I203" i="5"/>
  <c r="H203" i="5"/>
  <c r="G203" i="5"/>
  <c r="F203" i="5"/>
  <c r="E203" i="5"/>
  <c r="D203" i="5"/>
  <c r="C203" i="5"/>
  <c r="I202" i="5"/>
  <c r="H202" i="5"/>
  <c r="G202" i="5"/>
  <c r="F202" i="5"/>
  <c r="E202" i="5"/>
  <c r="D202" i="5"/>
  <c r="C202" i="5"/>
  <c r="I201" i="5"/>
  <c r="H201" i="5"/>
  <c r="G201" i="5"/>
  <c r="F201" i="5"/>
  <c r="E201" i="5"/>
  <c r="D201" i="5"/>
  <c r="C201" i="5"/>
  <c r="I200" i="5"/>
  <c r="H200" i="5"/>
  <c r="G200" i="5"/>
  <c r="F200" i="5"/>
  <c r="E200" i="5"/>
  <c r="D200" i="5"/>
  <c r="C200" i="5"/>
  <c r="I199" i="5"/>
  <c r="H199" i="5"/>
  <c r="G199" i="5"/>
  <c r="F199" i="5"/>
  <c r="E199" i="5"/>
  <c r="D199" i="5"/>
  <c r="C199" i="5"/>
  <c r="I198" i="5"/>
  <c r="H198" i="5"/>
  <c r="G198" i="5"/>
  <c r="F198" i="5"/>
  <c r="E198" i="5"/>
  <c r="D198" i="5"/>
  <c r="C198" i="5"/>
  <c r="I197" i="5"/>
  <c r="H197" i="5"/>
  <c r="G197" i="5"/>
  <c r="F197" i="5"/>
  <c r="E197" i="5"/>
  <c r="D197" i="5"/>
  <c r="C197" i="5"/>
  <c r="I196" i="5"/>
  <c r="H196" i="5"/>
  <c r="G196" i="5"/>
  <c r="F196" i="5"/>
  <c r="E196" i="5"/>
  <c r="D196" i="5"/>
  <c r="C196" i="5"/>
  <c r="I195" i="5"/>
  <c r="H195" i="5"/>
  <c r="G195" i="5"/>
  <c r="F195" i="5"/>
  <c r="E195" i="5"/>
  <c r="D195" i="5"/>
  <c r="C195" i="5"/>
  <c r="I194" i="5"/>
  <c r="H194" i="5"/>
  <c r="G194" i="5"/>
  <c r="F194" i="5"/>
  <c r="E194" i="5"/>
  <c r="D194" i="5"/>
  <c r="C194" i="5"/>
  <c r="I193" i="5"/>
  <c r="H193" i="5"/>
  <c r="G193" i="5"/>
  <c r="F193" i="5"/>
  <c r="E193" i="5"/>
  <c r="D193" i="5"/>
  <c r="C193" i="5"/>
  <c r="I192" i="5"/>
  <c r="H192" i="5"/>
  <c r="G192" i="5"/>
  <c r="F192" i="5"/>
  <c r="E192" i="5"/>
  <c r="D192" i="5"/>
  <c r="C192" i="5"/>
  <c r="I191" i="5"/>
  <c r="H191" i="5"/>
  <c r="G191" i="5"/>
  <c r="F191" i="5"/>
  <c r="E191" i="5"/>
  <c r="D191" i="5"/>
  <c r="C191" i="5"/>
  <c r="I190" i="5"/>
  <c r="H190" i="5"/>
  <c r="G190" i="5"/>
  <c r="F190" i="5"/>
  <c r="E190" i="5"/>
  <c r="D190" i="5"/>
  <c r="C190" i="5"/>
  <c r="I189" i="5"/>
  <c r="H189" i="5"/>
  <c r="G189" i="5"/>
  <c r="F189" i="5"/>
  <c r="E189" i="5"/>
  <c r="D189" i="5"/>
  <c r="C189" i="5"/>
  <c r="I188" i="5"/>
  <c r="H188" i="5"/>
  <c r="G188" i="5"/>
  <c r="F188" i="5"/>
  <c r="E188" i="5"/>
  <c r="D188" i="5"/>
  <c r="C188" i="5"/>
  <c r="I187" i="5"/>
  <c r="H187" i="5"/>
  <c r="G187" i="5"/>
  <c r="F187" i="5"/>
  <c r="E187" i="5"/>
  <c r="D187" i="5"/>
  <c r="C187" i="5"/>
  <c r="I186" i="5"/>
  <c r="H186" i="5"/>
  <c r="G186" i="5"/>
  <c r="F186" i="5"/>
  <c r="E186" i="5"/>
  <c r="D186" i="5"/>
  <c r="C186" i="5"/>
  <c r="I185" i="5"/>
  <c r="H185" i="5"/>
  <c r="G185" i="5"/>
  <c r="F185" i="5"/>
  <c r="E185" i="5"/>
  <c r="D185" i="5"/>
  <c r="C185" i="5"/>
  <c r="I184" i="5"/>
  <c r="H184" i="5"/>
  <c r="G184" i="5"/>
  <c r="F184" i="5"/>
  <c r="E184" i="5"/>
  <c r="D184" i="5"/>
  <c r="C184" i="5"/>
  <c r="I183" i="5"/>
  <c r="H183" i="5"/>
  <c r="G183" i="5"/>
  <c r="F183" i="5"/>
  <c r="E183" i="5"/>
  <c r="D183" i="5"/>
  <c r="C183" i="5"/>
  <c r="I182" i="5"/>
  <c r="H182" i="5"/>
  <c r="H207" i="5" s="1"/>
  <c r="G182" i="5"/>
  <c r="F182" i="5"/>
  <c r="F207" i="5" s="1"/>
  <c r="E182" i="5"/>
  <c r="D182" i="5"/>
  <c r="C182" i="5"/>
  <c r="I181" i="5"/>
  <c r="I207" i="5" s="1"/>
  <c r="H181" i="5"/>
  <c r="G181" i="5"/>
  <c r="G207" i="5" s="1"/>
  <c r="F181" i="5"/>
  <c r="E181" i="5"/>
  <c r="E207" i="5" s="1"/>
  <c r="D181" i="5"/>
  <c r="C181" i="5"/>
  <c r="G173" i="5"/>
  <c r="F173" i="5"/>
  <c r="E173" i="5"/>
  <c r="C173" i="5"/>
  <c r="G172" i="5"/>
  <c r="F172" i="5"/>
  <c r="E172" i="5"/>
  <c r="D172" i="5"/>
  <c r="C172" i="5"/>
  <c r="I171" i="5"/>
  <c r="H171" i="5"/>
  <c r="G171" i="5"/>
  <c r="F171" i="5"/>
  <c r="E171" i="5"/>
  <c r="D171" i="5"/>
  <c r="C171" i="5"/>
  <c r="G170" i="5"/>
  <c r="F170" i="5"/>
  <c r="E170" i="5"/>
  <c r="D170" i="5"/>
  <c r="C170" i="5"/>
  <c r="G169" i="5"/>
  <c r="F169" i="5"/>
  <c r="E169" i="5"/>
  <c r="D169" i="5"/>
  <c r="C169" i="5"/>
  <c r="I168" i="5"/>
  <c r="H168" i="5"/>
  <c r="G168" i="5"/>
  <c r="F168" i="5"/>
  <c r="E168" i="5"/>
  <c r="D168" i="5"/>
  <c r="C168" i="5"/>
  <c r="I167" i="5"/>
  <c r="H167" i="5"/>
  <c r="G167" i="5"/>
  <c r="F167" i="5"/>
  <c r="E167" i="5"/>
  <c r="D167" i="5"/>
  <c r="C167" i="5"/>
  <c r="I166" i="5"/>
  <c r="H166" i="5"/>
  <c r="G166" i="5"/>
  <c r="F166" i="5"/>
  <c r="E166" i="5"/>
  <c r="D166" i="5"/>
  <c r="C166" i="5"/>
  <c r="I165" i="5"/>
  <c r="H165" i="5"/>
  <c r="G165" i="5"/>
  <c r="F165" i="5"/>
  <c r="E165" i="5"/>
  <c r="D165" i="5"/>
  <c r="C165" i="5"/>
  <c r="I164" i="5"/>
  <c r="H164" i="5"/>
  <c r="G164" i="5"/>
  <c r="F164" i="5"/>
  <c r="E164" i="5"/>
  <c r="D164" i="5"/>
  <c r="C164" i="5"/>
  <c r="I163" i="5"/>
  <c r="H163" i="5"/>
  <c r="G163" i="5"/>
  <c r="F163" i="5"/>
  <c r="E163" i="5"/>
  <c r="D163" i="5"/>
  <c r="C163" i="5"/>
  <c r="I162" i="5"/>
  <c r="H162" i="5"/>
  <c r="G162" i="5"/>
  <c r="F162" i="5"/>
  <c r="E162" i="5"/>
  <c r="D162" i="5"/>
  <c r="C162" i="5"/>
  <c r="I161" i="5"/>
  <c r="H161" i="5"/>
  <c r="G161" i="5"/>
  <c r="F161" i="5"/>
  <c r="E161" i="5"/>
  <c r="D161" i="5"/>
  <c r="C161" i="5"/>
  <c r="I160" i="5"/>
  <c r="H160" i="5"/>
  <c r="G160" i="5"/>
  <c r="F160" i="5"/>
  <c r="E160" i="5"/>
  <c r="D160" i="5"/>
  <c r="C160" i="5"/>
  <c r="I159" i="5"/>
  <c r="H159" i="5"/>
  <c r="G159" i="5"/>
  <c r="F159" i="5"/>
  <c r="E159" i="5"/>
  <c r="D159" i="5"/>
  <c r="C159" i="5"/>
  <c r="I158" i="5"/>
  <c r="H158" i="5"/>
  <c r="G158" i="5"/>
  <c r="F158" i="5"/>
  <c r="E158" i="5"/>
  <c r="D158" i="5"/>
  <c r="C158" i="5"/>
  <c r="I157" i="5"/>
  <c r="H157" i="5"/>
  <c r="G157" i="5"/>
  <c r="F157" i="5"/>
  <c r="E157" i="5"/>
  <c r="D157" i="5"/>
  <c r="C157" i="5"/>
  <c r="I156" i="5"/>
  <c r="H156" i="5"/>
  <c r="G156" i="5"/>
  <c r="F156" i="5"/>
  <c r="E156" i="5"/>
  <c r="D156" i="5"/>
  <c r="C156" i="5"/>
  <c r="I155" i="5"/>
  <c r="H155" i="5"/>
  <c r="G155" i="5"/>
  <c r="F155" i="5"/>
  <c r="E155" i="5"/>
  <c r="D155" i="5"/>
  <c r="C155" i="5"/>
  <c r="I154" i="5"/>
  <c r="H154" i="5"/>
  <c r="G154" i="5"/>
  <c r="F154" i="5"/>
  <c r="E154" i="5"/>
  <c r="D154" i="5"/>
  <c r="C154" i="5"/>
  <c r="I153" i="5"/>
  <c r="H153" i="5"/>
  <c r="G153" i="5"/>
  <c r="F153" i="5"/>
  <c r="E153" i="5"/>
  <c r="D153" i="5"/>
  <c r="C153" i="5"/>
  <c r="I152" i="5"/>
  <c r="H152" i="5"/>
  <c r="G152" i="5"/>
  <c r="F152" i="5"/>
  <c r="E152" i="5"/>
  <c r="D152" i="5"/>
  <c r="C152" i="5"/>
  <c r="I151" i="5"/>
  <c r="H151" i="5"/>
  <c r="G151" i="5"/>
  <c r="F151" i="5"/>
  <c r="E151" i="5"/>
  <c r="D151" i="5"/>
  <c r="C151" i="5"/>
  <c r="I150" i="5"/>
  <c r="H150" i="5"/>
  <c r="G150" i="5"/>
  <c r="F150" i="5"/>
  <c r="E150" i="5"/>
  <c r="D150" i="5"/>
  <c r="C150" i="5"/>
  <c r="I149" i="5"/>
  <c r="H149" i="5"/>
  <c r="G149" i="5"/>
  <c r="F149" i="5"/>
  <c r="E149" i="5"/>
  <c r="D149" i="5"/>
  <c r="C149" i="5"/>
  <c r="I148" i="5"/>
  <c r="H148" i="5"/>
  <c r="G148" i="5"/>
  <c r="F148" i="5"/>
  <c r="E148" i="5"/>
  <c r="D148" i="5"/>
  <c r="C148" i="5"/>
  <c r="I147" i="5"/>
  <c r="H147" i="5"/>
  <c r="H174" i="5" s="1"/>
  <c r="G147" i="5"/>
  <c r="F147" i="5"/>
  <c r="F174" i="5" s="1"/>
  <c r="E147" i="5"/>
  <c r="D147" i="5"/>
  <c r="C147" i="5"/>
  <c r="D135" i="5"/>
  <c r="C135" i="5"/>
  <c r="D134" i="5"/>
  <c r="C134" i="5"/>
  <c r="D133" i="5"/>
  <c r="C133" i="5"/>
  <c r="D132" i="5"/>
  <c r="C132" i="5"/>
  <c r="D131" i="5"/>
  <c r="C131" i="5"/>
  <c r="D129" i="5"/>
  <c r="C129" i="5"/>
  <c r="C120" i="5"/>
  <c r="B120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I114" i="5" s="1"/>
  <c r="H111" i="5"/>
  <c r="H114" i="5" s="1"/>
  <c r="G111" i="5"/>
  <c r="G114" i="5" s="1"/>
  <c r="F111" i="5"/>
  <c r="F114" i="5" s="1"/>
  <c r="E111" i="5"/>
  <c r="E114" i="5" s="1"/>
  <c r="D111" i="5"/>
  <c r="D114" i="5" s="1"/>
  <c r="C111" i="5"/>
  <c r="C114" i="5" s="1"/>
  <c r="B111" i="5"/>
  <c r="B114" i="5" s="1"/>
  <c r="D92" i="5"/>
  <c r="C92" i="5"/>
  <c r="E92" i="5" s="1"/>
  <c r="B92" i="5"/>
  <c r="D91" i="5"/>
  <c r="C91" i="5"/>
  <c r="E91" i="5" s="1"/>
  <c r="B91" i="5"/>
  <c r="D90" i="5"/>
  <c r="D93" i="5" s="1"/>
  <c r="C90" i="5"/>
  <c r="C93" i="5" s="1"/>
  <c r="B90" i="5"/>
  <c r="B93" i="5" s="1"/>
  <c r="D87" i="5"/>
  <c r="C87" i="5"/>
  <c r="E87" i="5" s="1"/>
  <c r="B87" i="5"/>
  <c r="D86" i="5"/>
  <c r="C86" i="5"/>
  <c r="E86" i="5" s="1"/>
  <c r="B86" i="5"/>
  <c r="D85" i="5"/>
  <c r="C85" i="5"/>
  <c r="E85" i="5" s="1"/>
  <c r="E84" i="5" s="1"/>
  <c r="B85" i="5"/>
  <c r="D84" i="5"/>
  <c r="C84" i="5"/>
  <c r="B84" i="5"/>
  <c r="D83" i="5"/>
  <c r="C83" i="5"/>
  <c r="E83" i="5" s="1"/>
  <c r="B83" i="5"/>
  <c r="D82" i="5"/>
  <c r="C82" i="5"/>
  <c r="E82" i="5" s="1"/>
  <c r="B82" i="5"/>
  <c r="D81" i="5"/>
  <c r="C81" i="5"/>
  <c r="B81" i="5"/>
  <c r="D80" i="5"/>
  <c r="D95" i="5" s="1"/>
  <c r="C80" i="5"/>
  <c r="C95" i="5" s="1"/>
  <c r="B80" i="5"/>
  <c r="B95" i="5" s="1"/>
  <c r="C65" i="5"/>
  <c r="C64" i="5"/>
  <c r="C66" i="5" s="1"/>
  <c r="C63" i="5"/>
  <c r="C60" i="5"/>
  <c r="C59" i="5"/>
  <c r="C58" i="5" s="1"/>
  <c r="C57" i="5"/>
  <c r="C56" i="5"/>
  <c r="C55" i="5"/>
  <c r="C61" i="5" s="1"/>
  <c r="C54" i="5"/>
  <c r="C51" i="5"/>
  <c r="C50" i="5"/>
  <c r="C49" i="5" s="1"/>
  <c r="C52" i="5" s="1"/>
  <c r="C48" i="5"/>
  <c r="C47" i="5"/>
  <c r="C46" i="5"/>
  <c r="C45" i="5"/>
  <c r="C68" i="5" s="1"/>
  <c r="G32" i="5"/>
  <c r="C32" i="5"/>
  <c r="H31" i="5"/>
  <c r="G31" i="5"/>
  <c r="F31" i="5"/>
  <c r="E31" i="5"/>
  <c r="I31" i="5" s="1"/>
  <c r="D31" i="5"/>
  <c r="C31" i="5"/>
  <c r="B31" i="5"/>
  <c r="H30" i="5"/>
  <c r="G30" i="5"/>
  <c r="F30" i="5"/>
  <c r="E30" i="5"/>
  <c r="I30" i="5" s="1"/>
  <c r="D30" i="5"/>
  <c r="C30" i="5"/>
  <c r="B30" i="5"/>
  <c r="H29" i="5"/>
  <c r="H32" i="5" s="1"/>
  <c r="G29" i="5"/>
  <c r="F29" i="5"/>
  <c r="F32" i="5" s="1"/>
  <c r="E29" i="5"/>
  <c r="E32" i="5" s="1"/>
  <c r="D29" i="5"/>
  <c r="D32" i="5" s="1"/>
  <c r="C29" i="5"/>
  <c r="B29" i="5"/>
  <c r="B32" i="5" s="1"/>
  <c r="G27" i="5"/>
  <c r="C27" i="5"/>
  <c r="H26" i="5"/>
  <c r="G26" i="5"/>
  <c r="F26" i="5"/>
  <c r="E26" i="5"/>
  <c r="I26" i="5" s="1"/>
  <c r="D26" i="5"/>
  <c r="C26" i="5"/>
  <c r="B26" i="5"/>
  <c r="H25" i="5"/>
  <c r="G25" i="5"/>
  <c r="F25" i="5"/>
  <c r="E25" i="5"/>
  <c r="I25" i="5" s="1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I23" i="5" s="1"/>
  <c r="D23" i="5"/>
  <c r="C23" i="5"/>
  <c r="B23" i="5"/>
  <c r="H22" i="5"/>
  <c r="G22" i="5"/>
  <c r="F22" i="5"/>
  <c r="E22" i="5"/>
  <c r="I22" i="5" s="1"/>
  <c r="D22" i="5"/>
  <c r="C22" i="5"/>
  <c r="B22" i="5"/>
  <c r="H21" i="5"/>
  <c r="G21" i="5"/>
  <c r="F21" i="5"/>
  <c r="E21" i="5"/>
  <c r="I21" i="5" s="1"/>
  <c r="D21" i="5"/>
  <c r="C21" i="5"/>
  <c r="B21" i="5"/>
  <c r="H20" i="5"/>
  <c r="G20" i="5"/>
  <c r="F20" i="5"/>
  <c r="E20" i="5"/>
  <c r="D20" i="5"/>
  <c r="C20" i="5"/>
  <c r="B20" i="5"/>
  <c r="H19" i="5"/>
  <c r="H27" i="5" s="1"/>
  <c r="G19" i="5"/>
  <c r="F19" i="5"/>
  <c r="F27" i="5" s="1"/>
  <c r="E19" i="5"/>
  <c r="E27" i="5" s="1"/>
  <c r="D19" i="5"/>
  <c r="D27" i="5" s="1"/>
  <c r="C19" i="5"/>
  <c r="B19" i="5"/>
  <c r="B27" i="5" s="1"/>
  <c r="G17" i="5"/>
  <c r="G35" i="5" s="1"/>
  <c r="C17" i="5"/>
  <c r="C35" i="5" s="1"/>
  <c r="H16" i="5"/>
  <c r="G16" i="5"/>
  <c r="F16" i="5"/>
  <c r="E16" i="5"/>
  <c r="I16" i="5" s="1"/>
  <c r="D16" i="5"/>
  <c r="C16" i="5"/>
  <c r="B16" i="5"/>
  <c r="H15" i="5"/>
  <c r="G15" i="5"/>
  <c r="F15" i="5"/>
  <c r="E15" i="5"/>
  <c r="I15" i="5" s="1"/>
  <c r="D15" i="5"/>
  <c r="C15" i="5"/>
  <c r="B15" i="5"/>
  <c r="H14" i="5"/>
  <c r="G14" i="5"/>
  <c r="F14" i="5"/>
  <c r="E14" i="5"/>
  <c r="D14" i="5"/>
  <c r="C14" i="5"/>
  <c r="B14" i="5"/>
  <c r="H13" i="5"/>
  <c r="G13" i="5"/>
  <c r="F13" i="5"/>
  <c r="E13" i="5"/>
  <c r="I13" i="5" s="1"/>
  <c r="D13" i="5"/>
  <c r="C13" i="5"/>
  <c r="B13" i="5"/>
  <c r="H12" i="5"/>
  <c r="G12" i="5"/>
  <c r="F12" i="5"/>
  <c r="E12" i="5"/>
  <c r="I12" i="5" s="1"/>
  <c r="D12" i="5"/>
  <c r="C12" i="5"/>
  <c r="B12" i="5"/>
  <c r="H11" i="5"/>
  <c r="G11" i="5"/>
  <c r="F11" i="5"/>
  <c r="E11" i="5"/>
  <c r="I11" i="5" s="1"/>
  <c r="D11" i="5"/>
  <c r="C11" i="5"/>
  <c r="B11" i="5"/>
  <c r="H10" i="5"/>
  <c r="G10" i="5"/>
  <c r="F10" i="5"/>
  <c r="E10" i="5"/>
  <c r="D10" i="5"/>
  <c r="C10" i="5"/>
  <c r="B10" i="5"/>
  <c r="H9" i="5"/>
  <c r="H34" i="5" s="1"/>
  <c r="G9" i="5"/>
  <c r="G34" i="5" s="1"/>
  <c r="F9" i="5"/>
  <c r="F34" i="5" s="1"/>
  <c r="E9" i="5"/>
  <c r="E34" i="5" s="1"/>
  <c r="D9" i="5"/>
  <c r="D34" i="5" s="1"/>
  <c r="C9" i="5"/>
  <c r="C34" i="5" s="1"/>
  <c r="B9" i="5"/>
  <c r="B34" i="5" s="1"/>
  <c r="D31" i="3"/>
  <c r="C31" i="3"/>
  <c r="D30" i="3"/>
  <c r="G30" i="3" s="1"/>
  <c r="C30" i="3"/>
  <c r="D28" i="3"/>
  <c r="C28" i="3"/>
  <c r="D27" i="3"/>
  <c r="C27" i="3"/>
  <c r="D25" i="3"/>
  <c r="C25" i="3"/>
  <c r="D19" i="3"/>
  <c r="C19" i="3"/>
  <c r="D18" i="3"/>
  <c r="C18" i="3"/>
  <c r="D16" i="3"/>
  <c r="C16" i="3"/>
  <c r="D14" i="3"/>
  <c r="C14" i="3"/>
  <c r="D9" i="3"/>
  <c r="C9" i="3"/>
  <c r="C8" i="3"/>
  <c r="C40" i="2"/>
  <c r="D39" i="2"/>
  <c r="C39" i="2"/>
  <c r="D35" i="2"/>
  <c r="C35" i="2"/>
  <c r="D33" i="2"/>
  <c r="C33" i="2"/>
  <c r="D31" i="2"/>
  <c r="C31" i="2"/>
  <c r="D27" i="2"/>
  <c r="C27" i="2"/>
  <c r="D24" i="2"/>
  <c r="C24" i="2"/>
  <c r="D19" i="2"/>
  <c r="C19" i="2"/>
  <c r="D15" i="2"/>
  <c r="C15" i="2"/>
  <c r="D14" i="2"/>
  <c r="C14" i="2"/>
  <c r="D9" i="2"/>
  <c r="C9" i="2"/>
  <c r="D8" i="2"/>
  <c r="D26" i="2" s="1"/>
  <c r="D34" i="2" s="1"/>
  <c r="D42" i="2" s="1"/>
  <c r="D45" i="2" s="1"/>
  <c r="C8" i="2"/>
  <c r="C26" i="2" s="1"/>
  <c r="I10" i="5" l="1"/>
  <c r="I14" i="5"/>
  <c r="I20" i="5"/>
  <c r="I24" i="5"/>
  <c r="C69" i="5"/>
  <c r="E81" i="5"/>
  <c r="E80" i="5"/>
  <c r="E90" i="5"/>
  <c r="E93" i="5" s="1"/>
  <c r="I216" i="5"/>
  <c r="I221" i="5" s="1"/>
  <c r="H230" i="5"/>
  <c r="H238" i="5" s="1"/>
  <c r="I9" i="5"/>
  <c r="E17" i="5"/>
  <c r="E35" i="5" s="1"/>
  <c r="I19" i="5"/>
  <c r="I27" i="5" s="1"/>
  <c r="I29" i="5"/>
  <c r="I32" i="5" s="1"/>
  <c r="C88" i="5"/>
  <c r="C96" i="5" s="1"/>
  <c r="E174" i="5"/>
  <c r="G174" i="5"/>
  <c r="I174" i="5"/>
  <c r="I217" i="5"/>
  <c r="H231" i="5"/>
  <c r="H235" i="5"/>
  <c r="I404" i="5"/>
  <c r="B17" i="5"/>
  <c r="B35" i="5" s="1"/>
  <c r="D17" i="5"/>
  <c r="D35" i="5" s="1"/>
  <c r="F17" i="5"/>
  <c r="F35" i="5" s="1"/>
  <c r="H17" i="5"/>
  <c r="H35" i="5" s="1"/>
  <c r="B88" i="5"/>
  <c r="B96" i="5" s="1"/>
  <c r="D88" i="5"/>
  <c r="D96" i="5" s="1"/>
  <c r="B400" i="5"/>
  <c r="D400" i="5"/>
  <c r="D406" i="5" s="1"/>
  <c r="F400" i="5"/>
  <c r="F406" i="5" s="1"/>
  <c r="H400" i="5"/>
  <c r="H406" i="5" s="1"/>
  <c r="B404" i="5"/>
  <c r="I390" i="5"/>
  <c r="C400" i="5"/>
  <c r="C406" i="5" s="1"/>
  <c r="E400" i="5"/>
  <c r="E406" i="5" s="1"/>
  <c r="G400" i="5"/>
  <c r="G406" i="5" s="1"/>
  <c r="D8" i="3"/>
  <c r="D29" i="3" s="1"/>
  <c r="C29" i="3"/>
  <c r="D53" i="2"/>
  <c r="G45" i="2"/>
  <c r="C34" i="2"/>
  <c r="C39" i="1"/>
  <c r="B39" i="1"/>
  <c r="C37" i="1"/>
  <c r="B37" i="1"/>
  <c r="C34" i="1"/>
  <c r="C33" i="1"/>
  <c r="B33" i="1"/>
  <c r="F31" i="1"/>
  <c r="E31" i="1"/>
  <c r="C28" i="1"/>
  <c r="B28" i="1"/>
  <c r="F27" i="1"/>
  <c r="E27" i="1"/>
  <c r="C27" i="1"/>
  <c r="B27" i="1"/>
  <c r="F24" i="1"/>
  <c r="E24" i="1"/>
  <c r="C21" i="1"/>
  <c r="B21" i="1"/>
  <c r="F20" i="1"/>
  <c r="F19" i="1" s="1"/>
  <c r="F17" i="1" s="1"/>
  <c r="C20" i="1"/>
  <c r="B20" i="1"/>
  <c r="E19" i="1"/>
  <c r="F18" i="1"/>
  <c r="E18" i="1"/>
  <c r="E17" i="1"/>
  <c r="E12" i="1"/>
  <c r="F11" i="1"/>
  <c r="E11" i="1"/>
  <c r="C11" i="1"/>
  <c r="B11" i="1"/>
  <c r="F10" i="1"/>
  <c r="E10" i="1"/>
  <c r="C10" i="1"/>
  <c r="B10" i="1"/>
  <c r="F8" i="1"/>
  <c r="E8" i="1"/>
  <c r="E48" i="1" s="1"/>
  <c r="C8" i="1"/>
  <c r="C48" i="1" s="1"/>
  <c r="B8" i="1"/>
  <c r="B406" i="5" l="1"/>
  <c r="I34" i="5"/>
  <c r="I17" i="5"/>
  <c r="I35" i="5" s="1"/>
  <c r="E95" i="5"/>
  <c r="E88" i="5"/>
  <c r="E96" i="5" s="1"/>
  <c r="I405" i="5"/>
  <c r="I400" i="5"/>
  <c r="I406" i="5" s="1"/>
  <c r="C34" i="3"/>
  <c r="D34" i="3"/>
  <c r="G29" i="3"/>
  <c r="C42" i="2"/>
  <c r="F48" i="1"/>
  <c r="F50" i="1" s="1"/>
  <c r="B48" i="1"/>
  <c r="C45" i="2" l="1"/>
  <c r="E50" i="1"/>
  <c r="C53" i="2" l="1"/>
</calcChain>
</file>

<file path=xl/sharedStrings.xml><?xml version="1.0" encoding="utf-8"?>
<sst xmlns="http://schemas.openxmlformats.org/spreadsheetml/2006/main" count="774" uniqueCount="562">
  <si>
    <r>
      <t xml:space="preserve">Nazwa i adres jednostki sprawozdawczej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</si>
  <si>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Bilans jednostki budżetowej lub samorządowego zakładu budżetowego
sporządzony na dzień 31.12.2024 r.</t>
  </si>
  <si>
    <r>
      <t xml:space="preserve">
Adresat:
</t>
    </r>
    <r>
      <rPr>
        <b/>
        <sz val="11"/>
        <color theme="1"/>
        <rFont val="Calibri"/>
        <family val="2"/>
        <charset val="238"/>
        <scheme val="minor"/>
      </rPr>
      <t>m.st. Warszawa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</si>
  <si>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Numer identyfikacyjny</t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</si>
  <si>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15259640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</si>
  <si>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</si>
  <si>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</si>
  <si>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</si>
  <si>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</si>
  <si>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</si>
  <si>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</si>
  <si>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</si>
  <si>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</si>
  <si>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</si>
  <si>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</si>
  <si>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</si>
  <si>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</si>
  <si>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</si>
  <si>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</si>
  <si>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</si>
  <si>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</si>
  <si>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</si>
  <si>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</si>
  <si>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</si>
  <si>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</si>
  <si>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</si>
  <si>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</si>
  <si>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</si>
  <si>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</si>
  <si>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t>2. Środki trwałe w budowie (inwestycje)</t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</si>
  <si>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</si>
  <si>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</si>
  <si>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</si>
  <si>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</si>
  <si>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</si>
  <si>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</si>
  <si>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</si>
  <si>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</si>
  <si>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</si>
  <si>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</si>
  <si>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</si>
  <si>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</si>
  <si>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</si>
  <si>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</si>
  <si>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</si>
  <si>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</si>
  <si>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</si>
  <si>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</si>
  <si>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</si>
  <si>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</si>
  <si>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</si>
  <si>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</si>
  <si>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</si>
  <si>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</si>
  <si>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</si>
  <si>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</si>
  <si>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</si>
  <si>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</si>
  <si>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</si>
  <si>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</si>
  <si>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</si>
  <si>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</si>
  <si>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</si>
  <si>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</si>
  <si>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</si>
  <si>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</si>
  <si>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</si>
  <si>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</si>
  <si>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</si>
  <si>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</si>
  <si>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</si>
  <si>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</si>
  <si>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</si>
  <si>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</si>
  <si>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</si>
  <si>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</si>
  <si>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</si>
  <si>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</si>
  <si>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(rok, miesiąc, dzień)</t>
  </si>
  <si>
    <t>.......................................</t>
  </si>
  <si>
    <t>(główny księgowy)</t>
  </si>
  <si>
    <t>(kierownik jednostki)</t>
  </si>
  <si>
    <t>Rachunek zysków i strat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</si>
  <si>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>m.st. Warszawa</t>
    </r>
  </si>
  <si>
    <t>(wariant porównawczy)</t>
  </si>
  <si>
    <t>sporządzony na dzień 31.12.2024 r.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</si>
  <si>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</si>
  <si>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</si>
  <si>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</si>
  <si>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</si>
  <si>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</si>
  <si>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</si>
  <si>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</si>
  <si>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</si>
  <si>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</si>
  <si>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</si>
  <si>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</si>
  <si>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</si>
  <si>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</si>
  <si>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</si>
  <si>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</si>
  <si>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</si>
  <si>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</si>
  <si>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</si>
  <si>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</si>
  <si>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</si>
  <si>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</si>
  <si>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</si>
  <si>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</si>
  <si>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</si>
  <si>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</si>
  <si>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</si>
  <si>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</si>
  <si>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</si>
  <si>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</si>
  <si>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</si>
  <si>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</si>
  <si>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</si>
  <si>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</si>
  <si>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</si>
  <si>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</si>
  <si>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</si>
  <si>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</si>
  <si>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</si>
  <si>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</si>
  <si>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</si>
  <si>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(rok-miesiąc-dzień)</t>
  </si>
  <si>
    <t>..................................................</t>
  </si>
  <si>
    <t>........................................</t>
  </si>
  <si>
    <r>
      <t xml:space="preserve">Nazwa i adres jednostki sprawozdawczej 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</si>
  <si>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Zestawienie zmian w funduszu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</si>
  <si>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 xml:space="preserve">m.st. Warszawa </t>
    </r>
  </si>
  <si>
    <t xml:space="preserve">sporządzone na dzień 31.12.2024 r.
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</si>
  <si>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</si>
  <si>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</si>
  <si>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</si>
  <si>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</si>
  <si>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</si>
  <si>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</si>
  <si>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</si>
  <si>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</si>
  <si>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</si>
  <si>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</si>
  <si>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</si>
  <si>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</si>
  <si>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</si>
  <si>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</si>
  <si>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</si>
  <si>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</si>
  <si>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</si>
  <si>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</si>
  <si>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</si>
  <si>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</si>
  <si>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</si>
  <si>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</si>
  <si>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</si>
  <si>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</si>
  <si>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</si>
  <si>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</si>
  <si>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</si>
  <si>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V. Fundusz (II+,-III-IV)</t>
  </si>
  <si>
    <t>.................................................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</si>
  <si>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</si>
  <si>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</si>
  <si>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</si>
  <si>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</si>
  <si>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</si>
  <si>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</si>
  <si>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</si>
  <si>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</si>
  <si>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</si>
  <si>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</si>
  <si>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</si>
  <si>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</si>
  <si>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</si>
  <si>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</si>
  <si>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</si>
  <si>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</si>
  <si>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</si>
  <si>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</si>
  <si>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</si>
  <si>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</si>
  <si>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</si>
  <si>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</si>
  <si>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</si>
  <si>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</si>
  <si>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>Stan na  koniec roku</t>
  </si>
  <si>
    <t xml:space="preserve">II.1.1.b. Wartości niematerialne i prawne  - zmiany w ciągu roku obrotowego 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</si>
  <si>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</si>
  <si>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</si>
  <si>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</si>
  <si>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</si>
  <si>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</si>
  <si>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</si>
  <si>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</si>
  <si>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</si>
  <si>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</si>
  <si>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</si>
  <si>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</si>
  <si>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</si>
  <si>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</si>
  <si>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>Wartość początkowa na koniec roku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</si>
  <si>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</si>
  <si>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</si>
  <si>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</si>
  <si>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</si>
  <si>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 xml:space="preserve">Z uwagi na znaczącą ilość składników mienia stanowiących środki trwałe gromadzenie informacji o ich aktualnej wartości rynkowej wymagałoby poniesienia istotnych kosztów. </t>
  </si>
  <si>
    <t>W rezultacie odstąpiono od pozyskiwania tego typu danych.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</si>
  <si>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</si>
  <si>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</si>
  <si>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</si>
  <si>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</si>
  <si>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</si>
  <si>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</si>
  <si>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</si>
  <si>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</si>
  <si>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</si>
  <si>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</si>
  <si>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</si>
  <si>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</si>
  <si>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</si>
  <si>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II.1.4. Grunty użytkowane wieczyście </t>
  </si>
  <si>
    <t>Treść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</si>
  <si>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</si>
  <si>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</si>
  <si>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</si>
  <si>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w tym:</t>
  </si>
  <si>
    <t>Grunty*</t>
  </si>
  <si>
    <t>Budynki, lokale i obiekty inżynierii lądowej i wodnej**</t>
  </si>
  <si>
    <t>* nie występują</t>
  </si>
  <si>
    <t>** Urząd m.st. Warszawy w ramach umów najmu, dzierżawy wynajmuje pomieszczenia. Nie posiadamy danych dotyczących wartości tych budynków.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</si>
  <si>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</si>
  <si>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</si>
  <si>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</si>
  <si>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</si>
  <si>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</si>
  <si>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</si>
  <si>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</si>
  <si>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</si>
  <si>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bieżącego roku</t>
  </si>
  <si>
    <t>Kapitały własne na dzień 31 grudnia bieżącego roku</t>
  </si>
  <si>
    <t xml:space="preserve">GGKO Zarządzanie Nieruchomościami Sp. z o.o. </t>
  </si>
  <si>
    <t>Metro Warszawskie Sp. z o.o.</t>
  </si>
  <si>
    <t>Miejskie Przedsiębiorstwo Oczyszczania w m. st. Warszawie Sp. z o.o.</t>
  </si>
  <si>
    <t>Miejskie Przedsiębiorstwo Realizacji Inwestycji Sp. z o.o.</t>
  </si>
  <si>
    <t>Miejskie Przedsiębiorstwo Usług Komunalnych Sp. z o.o.</t>
  </si>
  <si>
    <t xml:space="preserve">Miejskie Przeds. Wodociągów i Kanal. w m. st. W-wie SA </t>
  </si>
  <si>
    <t>Miejskie Zakłady Autobusowe Sp. z o.o.</t>
  </si>
  <si>
    <t>Przeds. Gosp. Maszynami Bud. "Warszawa" Sp. z o.o.</t>
  </si>
  <si>
    <t>"WAREXPO" Sp. z o.o.</t>
  </si>
  <si>
    <t>Szybka Kolej Miejska Sp. z o.o.</t>
  </si>
  <si>
    <t>TBS Warszawa Południe Sp. z o.o.</t>
  </si>
  <si>
    <t>TBS Warszawa Północ Sp. z o.o.</t>
  </si>
  <si>
    <t>Tramwaje Warszawskie Sp. z o.o.</t>
  </si>
  <si>
    <t>Zarząd Pałacu Kultury i Nauki Sp. z o.o.</t>
  </si>
  <si>
    <t>Centrum Medyczne Żelazna Sp. z o.o.</t>
  </si>
  <si>
    <t>Warszawski Szpital Południowy Sp. z o.o.</t>
  </si>
  <si>
    <t>Stołeczne Centrum Opiekuńczo-Lecznicze Sp. z o.o.</t>
  </si>
  <si>
    <t>Szpital Praski p.w. Przemienienia Pańskiego Sp. z o.o.</t>
  </si>
  <si>
    <t>Szpital Grochowski im. dr med. Rafała Masztaka Sp. z o.o.</t>
  </si>
  <si>
    <t>Szpital Czerniakowski Sp. z o.o.</t>
  </si>
  <si>
    <t>Warszawskie Centrum Opieki Med. "Kopernik" Sp. z o.o.</t>
  </si>
  <si>
    <t>Szpital Wolski im. Anny Gostyńskiej Sp. z o.o.</t>
  </si>
  <si>
    <t>Country House U.A. Sp. z o.o. w likwidacji</t>
  </si>
  <si>
    <t>10 spółka z o.o.</t>
  </si>
  <si>
    <t>Mazowiecki Fundusz Poręczeń Kredytowych Sp. z o.o.</t>
  </si>
  <si>
    <t>TBF 11 spółka z o.o.</t>
  </si>
  <si>
    <t>inne (poniżej 20%)</t>
  </si>
  <si>
    <t>Razem</t>
  </si>
  <si>
    <t>II.1.6. Liczba i wartość posiadanych akcji i udziałów c.d.</t>
  </si>
  <si>
    <t>Zysk/(strata) netto za rok zakończony dnia 31 grudnia poprzedniego roku</t>
  </si>
  <si>
    <t>Kapitały własne na dzień 31 grudnia poprzedniego roku</t>
  </si>
  <si>
    <t xml:space="preserve">Miejskie Przedsiębiorstwo Wodociągów i Kanalizacji w m.st. Warszawie SA </t>
  </si>
  <si>
    <t>Przedsiębiorstwo Gospodarki Maszynami Budownictwa "Warszawa" Sp. z o.o.</t>
  </si>
  <si>
    <t>Warszawskie Centrum Opieki Med.. "Kopernik" Sp. z o.o.</t>
  </si>
  <si>
    <t>Sedeco Sp. z o.o.</t>
  </si>
  <si>
    <t xml:space="preserve">II.1.7. Odpisy aktualizujące wartość należności </t>
  </si>
  <si>
    <t>Wyszczególnienie odpisów z tytułu</t>
  </si>
  <si>
    <t>Zmiany stanu odpisów w ciągu roku obrotowego</t>
  </si>
  <si>
    <t>Wykorzystanie</t>
  </si>
  <si>
    <t>Rozwiązanie</t>
  </si>
  <si>
    <t>w tym: należności finansowe (pożyczki zagrożone)</t>
  </si>
  <si>
    <t>2</t>
  </si>
  <si>
    <t>Należności krótkoterminowe</t>
  </si>
  <si>
    <t>3</t>
  </si>
  <si>
    <t>Należności alimentacyjne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</si>
  <si>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</si>
  <si>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</si>
  <si>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</si>
  <si>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</si>
  <si>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</si>
  <si>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>Rozwiązane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</si>
  <si>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</si>
  <si>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</si>
  <si>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</si>
  <si>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</si>
  <si>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</si>
  <si>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 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</si>
  <si>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</si>
  <si>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</si>
  <si>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</si>
  <si>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Rezerwy na odszkodowania z tytułu bezumownego korzystania z nieruchomości</t>
  </si>
  <si>
    <t>Inne rezerwy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</si>
  <si>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</si>
  <si>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</si>
  <si>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</si>
  <si>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</si>
  <si>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</si>
  <si>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</si>
  <si>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</si>
  <si>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</si>
  <si>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Nie wystąpiły przypadki kwalifikowania umów leasingu zgodnie z przepisami podatkowymi.</t>
  </si>
  <si>
    <t>II.1.11. Zobowiązania zabezpieczone na majątku jednostki</t>
  </si>
  <si>
    <t>W 2024 roku nie wystąpiły zobowiązania zabezpieczone na majątku jednostki.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</si>
  <si>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</si>
  <si>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</si>
  <si>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</si>
  <si>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</si>
  <si>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 xml:space="preserve">Zabezpieczenie umów pożyczek: umowa nr ENERG/03/06/2021 i umowa nr PMII/2024/1 z Mazowieckiego Regionalnego Funduszu Pożyczkowego Sp. z o.o.; umowy nr ZT24-04607, ZT24-04611, ZT24-04612, ZT24-04613, ZT24-04614, ZT24-04615, ZT24-04616,ZT24-04617 z Banku Gospodarstwa Krajowego </t>
  </si>
  <si>
    <r>
      <t>Poręczenia</t>
    </r>
    <r>
      <rPr>
        <sz val="10"/>
        <color indexed="8"/>
        <rFont val="Calibri"/>
        <family val="2"/>
        <charset val="238"/>
        <scheme val="minor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</si>
  <si>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</si>
  <si>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</si>
  <si>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</si>
  <si>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</si>
  <si>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</si>
  <si>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</si>
  <si>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</si>
  <si>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na odszkodowania z tytułu naruszenia zasady pierwszeństwa</t>
  </si>
  <si>
    <t xml:space="preserve">za grunty wydzielone pod drogi </t>
  </si>
  <si>
    <t xml:space="preserve">za wywłaszczenie nieruchomości  </t>
  </si>
  <si>
    <t>na odszkodowania za nieruchomości warszawskie (DEKRET BIERUTA z dnia 26 października 1945 r.)</t>
  </si>
  <si>
    <t xml:space="preserve">na odszkodowania związane z uchwaleniem planu miejscowego zagospodarowania </t>
  </si>
  <si>
    <t>za grunty zajęte pod drogi</t>
  </si>
  <si>
    <t xml:space="preserve">za grunty przejęte pod drogi w oparciu o tzw. Specustawę </t>
  </si>
  <si>
    <t>na odszkodowania z tytułu bezumownego korzystania z nieruchomości</t>
  </si>
  <si>
    <t>zobowiązania warunkowe z tytułu zasiedzeń</t>
  </si>
  <si>
    <t>inne sprawy sporne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</si>
  <si>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</si>
  <si>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</si>
  <si>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</si>
  <si>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</si>
  <si>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</si>
  <si>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</si>
  <si>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</si>
  <si>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</si>
  <si>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</si>
  <si>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</si>
  <si>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</si>
  <si>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</si>
  <si>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</si>
  <si>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</si>
  <si>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</si>
  <si>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</si>
  <si>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</si>
  <si>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</si>
  <si>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</si>
  <si>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</si>
  <si>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</si>
  <si>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</si>
  <si>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</si>
  <si>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</si>
  <si>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pozostałe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</si>
  <si>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</si>
  <si>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</si>
  <si>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</si>
  <si>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</si>
  <si>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</si>
  <si>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</si>
  <si>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</t>
  </si>
  <si>
    <t>Kwota wypłaty
 w roku poprzednim</t>
  </si>
  <si>
    <t>Kwota wypłaty
 w roku bieżącym</t>
  </si>
  <si>
    <t>Świadczenia pracownicze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</si>
  <si>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</si>
  <si>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</si>
  <si>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</si>
  <si>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</si>
  <si>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</si>
  <si>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</si>
  <si>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</si>
  <si>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</si>
  <si>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</si>
  <si>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</si>
  <si>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</si>
  <si>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</si>
  <si>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</si>
  <si>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</si>
  <si>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</si>
  <si>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</si>
  <si>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</si>
  <si>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</si>
  <si>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</si>
  <si>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</si>
  <si>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</si>
  <si>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</si>
  <si>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</si>
  <si>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</si>
  <si>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</si>
  <si>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</si>
  <si>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</si>
  <si>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</si>
  <si>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</si>
  <si>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</si>
  <si>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</si>
  <si>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</si>
  <si>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</si>
  <si>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</si>
  <si>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</si>
  <si>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W 2024 r. nie wystąpiły odpisy aktualizujące wartość zapasów.</t>
  </si>
  <si>
    <t>II.2.2. Koszt wytworzenia środków trwałych w budowie poniesiony w okresie</t>
  </si>
  <si>
    <t>( środki trwałe wytworzone siłami własnymi )</t>
  </si>
  <si>
    <t>W 2024 r. Urząd  m.st. Warszawy nie poniósł kosztów wytworzenia środków trwałych siłami własnymi.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</si>
  <si>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</si>
  <si>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</si>
  <si>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</si>
  <si>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</si>
  <si>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>o nadzwyczajnej wartości</t>
  </si>
  <si>
    <t>które wystąpiły incydentalnie, w tym:</t>
  </si>
  <si>
    <t>przychody z tytułu środków otrzymanych na cele przeciwdziałania i usuwania skutków pandemii COVID-19</t>
  </si>
  <si>
    <t>przychody z tytułu środków (w tym grantów, dotacji i darowizn) otrzymanych na pomoc obywatelom Ukrainy</t>
  </si>
  <si>
    <t>przychody ze sprzedaży węgla</t>
  </si>
  <si>
    <t>Koszty</t>
  </si>
  <si>
    <t>koszty pomocy udzielonej obywatelom Ukrainy</t>
  </si>
  <si>
    <t>koszty przeciwdziałania i usuwania skutków pandemii COVID-19</t>
  </si>
  <si>
    <t>wartość sprzedanego węgla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</si>
  <si>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</si>
  <si>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Nie dotyczy.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</si>
  <si>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</si>
  <si>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</si>
  <si>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</si>
  <si>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  <scheme val="minor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</si>
  <si>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</si>
  <si>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</si>
  <si>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</si>
  <si>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</si>
  <si>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</si>
  <si>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</si>
  <si>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</si>
  <si>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</si>
  <si>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</si>
  <si>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</si>
  <si>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</si>
  <si>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</si>
  <si>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</si>
  <si>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</si>
  <si>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</si>
  <si>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</si>
  <si>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</si>
  <si>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</si>
  <si>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</si>
  <si>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</si>
  <si>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</si>
  <si>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</si>
  <si>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</si>
  <si>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</si>
  <si>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</si>
  <si>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</si>
  <si>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</si>
  <si>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</si>
  <si>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</si>
  <si>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 xml:space="preserve">przychody z tyt. opłat za pobyt 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</si>
  <si>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</si>
  <si>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</si>
  <si>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</si>
  <si>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</si>
  <si>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</si>
  <si>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II.2.5.a. Struktura przychodów c.d.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</si>
  <si>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</si>
  <si>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</si>
  <si>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</si>
  <si>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</si>
  <si>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</si>
  <si>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*</t>
  </si>
  <si>
    <r>
      <t>Razem</t>
    </r>
    <r>
      <rPr>
        <sz val="10"/>
        <color indexed="8"/>
        <rFont val="Times New Roman"/>
        <family val="1"/>
        <charset val="238"/>
      </rPr>
      <t/>
    </r>
  </si>
  <si>
    <t xml:space="preserve">* W pozycji "inne" w obrotach roku bieżącego zostały wykazane przychody z tytułu środków otrzymanych z Funduszu Pomocy Ukrainie oraz Funduszu Narodów Zjednoczonych na Rzecz Dzieci - UNICEF w wysokości 296 896 040,85 zł. </t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</si>
  <si>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</si>
  <si>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</si>
  <si>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</si>
  <si>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</si>
  <si>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</si>
  <si>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</si>
  <si>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</si>
  <si>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</si>
  <si>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</si>
  <si>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</si>
  <si>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</si>
  <si>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</si>
  <si>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</si>
  <si>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</si>
  <si>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</si>
  <si>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</si>
  <si>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</si>
  <si>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</si>
  <si>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</si>
  <si>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</si>
  <si>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</si>
  <si>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</si>
  <si>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</si>
  <si>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</si>
  <si>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</si>
  <si>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</si>
  <si>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</si>
  <si>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środki pieniężne 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</si>
  <si>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</si>
  <si>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</si>
  <si>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</si>
  <si>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</si>
  <si>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</si>
  <si>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</si>
  <si>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</si>
  <si>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</si>
  <si>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odpisów aktualizujących wartość nieruchomości inwestycyjnych</t>
  </si>
  <si>
    <t>utworzenie odpisów aktualizujących wartość należności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</si>
  <si>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</si>
  <si>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</si>
  <si>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</si>
  <si>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</si>
  <si>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Calibri"/>
        <family val="2"/>
        <charset val="238"/>
        <scheme val="minor"/>
      </rPr>
      <t>inne koszty operacyjne</t>
    </r>
    <r>
      <rPr>
        <i/>
        <sz val="10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ubiegłych, itp.)</t>
    </r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</si>
  <si>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</si>
  <si>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</si>
  <si>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</si>
  <si>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</si>
  <si>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</si>
  <si>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</si>
  <si>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</si>
  <si>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</si>
  <si>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</si>
  <si>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</si>
  <si>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</si>
  <si>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</si>
  <si>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pozostałe 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</si>
  <si>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</si>
  <si>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</si>
  <si>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</si>
  <si>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</si>
  <si>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</si>
  <si>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</si>
  <si>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</si>
  <si>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</si>
  <si>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</si>
  <si>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</si>
  <si>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</si>
  <si>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</si>
  <si>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</si>
  <si>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</si>
  <si>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 xml:space="preserve">Miejskie Przedsiębiorstwo Wodociągów i Kanalizacji w m. st. Warszawie SA </t>
  </si>
  <si>
    <t>SEDECO Sp. z. o.o.</t>
  </si>
  <si>
    <t>WAREXPO Sp. z o.o.</t>
  </si>
  <si>
    <t>Szpital Wolski im. Anny Gostyńskiej Spółka z o.o.</t>
  </si>
  <si>
    <t>Warszawskie Centrum Opieki Medycznej "Kopernik" Sp. z o.o.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</si>
  <si>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</si>
  <si>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</si>
  <si>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</si>
  <si>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  <scheme val="minor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</si>
  <si>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</si>
  <si>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</si>
  <si>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</si>
  <si>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</si>
  <si>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W sprawozdaniu finansowym Urzędu m.st. Warszawy za 2024 r. ujęto korekty lat ubiegłych dotyczące zmniejszenia wartości środków trwałych o kwotę 2 520 789,45 zł.</t>
  </si>
  <si>
    <t>II.3.3. Informacje o znaczących zdarzeniach jakie nastąpiły po dniu bilansowym a nieuwzględnionych w sprawozdaniu finansowym</t>
  </si>
  <si>
    <t>Po dniu bilansowym do dnia sporządzenia sprawozdania finansowego za rok obrotowy nie wystąpiły znaczące zdarzenia, które powinny być ujęte w sprawozdaniu finansowym roku obrotowego.</t>
  </si>
  <si>
    <t>......................................</t>
  </si>
  <si>
    <t>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</si>
</sst>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yyyy\-mm\-dd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1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name val="Book Antiqua"/>
      <family val="1"/>
      <charset val="238"/>
    </font>
    <font>
      <b/>
      <u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2" fillId="0" borderId="0"/>
  </cellStyleXfs>
  <cellXfs count="832">
    <xf numFmtId="0" fontId="0" fillId="0" borderId="0" xfId="0"/>
    <xf numFmtId="0" fontId="4" fillId="0" borderId="0" xfId="0" applyFont="1"/>
    <xf numFmtId="0" fontId="0" fillId="0" borderId="0" xfId="0" applyFont="1"/>
    <xf numFmtId="0" fontId="0" fillId="2" borderId="5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wrapText="1"/>
    </xf>
    <xf numFmtId="4" fontId="4" fillId="0" borderId="0" xfId="0" applyNumberFormat="1" applyFont="1"/>
    <xf numFmtId="4" fontId="5" fillId="0" borderId="0" xfId="0" applyNumberFormat="1" applyFont="1"/>
    <xf numFmtId="4" fontId="0" fillId="0" borderId="0" xfId="0" applyNumberFormat="1" applyFont="1"/>
    <xf numFmtId="0" fontId="3" fillId="2" borderId="14" xfId="0" applyFont="1" applyFill="1" applyBorder="1" applyAlignment="1">
      <alignment wrapText="1"/>
    </xf>
    <xf numFmtId="4" fontId="3" fillId="2" borderId="14" xfId="0" applyNumberFormat="1" applyFont="1" applyFill="1" applyBorder="1" applyAlignment="1">
      <alignment horizontal="right"/>
    </xf>
    <xf numFmtId="0" fontId="0" fillId="2" borderId="14" xfId="0" applyFont="1" applyFill="1" applyBorder="1" applyAlignment="1">
      <alignment wrapText="1"/>
    </xf>
    <xf numFmtId="4" fontId="0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wrapText="1"/>
    </xf>
    <xf numFmtId="4" fontId="3" fillId="2" borderId="14" xfId="0" applyNumberFormat="1" applyFont="1" applyFill="1" applyBorder="1"/>
    <xf numFmtId="4" fontId="0" fillId="0" borderId="14" xfId="0" applyNumberFormat="1" applyFont="1" applyFill="1" applyBorder="1" applyAlignment="1">
      <alignment horizontal="right"/>
    </xf>
    <xf numFmtId="4" fontId="0" fillId="2" borderId="14" xfId="0" applyNumberFormat="1" applyFont="1" applyFill="1" applyBorder="1" applyAlignment="1">
      <alignment horizontal="right" wrapText="1"/>
    </xf>
    <xf numFmtId="4" fontId="0" fillId="2" borderId="14" xfId="0" applyNumberFormat="1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4" fontId="3" fillId="2" borderId="15" xfId="0" applyNumberFormat="1" applyFont="1" applyFill="1" applyBorder="1" applyAlignment="1">
      <alignment horizontal="right"/>
    </xf>
    <xf numFmtId="0" fontId="0" fillId="2" borderId="15" xfId="0" applyFont="1" applyFill="1" applyBorder="1" applyAlignment="1">
      <alignment wrapText="1"/>
    </xf>
    <xf numFmtId="4" fontId="0" fillId="2" borderId="15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4" fontId="3" fillId="2" borderId="12" xfId="0" applyNumberFormat="1" applyFont="1" applyFill="1" applyBorder="1" applyAlignment="1">
      <alignment horizontal="right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5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14" fontId="0" fillId="0" borderId="0" xfId="0" applyNumberFormat="1" applyFont="1"/>
    <xf numFmtId="14" fontId="0" fillId="0" borderId="0" xfId="0" applyNumberFormat="1" applyFont="1" applyFill="1"/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wrapText="1"/>
    </xf>
    <xf numFmtId="0" fontId="0" fillId="0" borderId="0" xfId="0" applyFont="1" applyBorder="1"/>
    <xf numFmtId="4" fontId="3" fillId="2" borderId="24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" fontId="0" fillId="2" borderId="15" xfId="0" applyNumberFormat="1" applyFont="1" applyFill="1" applyBorder="1" applyAlignment="1">
      <alignment horizontal="right"/>
    </xf>
    <xf numFmtId="14" fontId="0" fillId="3" borderId="0" xfId="0" applyNumberFormat="1" applyFont="1" applyFill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center"/>
    </xf>
    <xf numFmtId="0" fontId="10" fillId="0" borderId="11" xfId="0" applyFont="1" applyFill="1" applyBorder="1" applyAlignment="1">
      <alignment horizontal="center" wrapText="1"/>
    </xf>
    <xf numFmtId="0" fontId="10" fillId="0" borderId="10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0" fillId="0" borderId="40" xfId="0" applyFont="1" applyFill="1" applyBorder="1"/>
    <xf numFmtId="4" fontId="10" fillId="0" borderId="41" xfId="0" applyNumberFormat="1" applyFont="1" applyFill="1" applyBorder="1" applyAlignment="1">
      <alignment horizontal="right"/>
    </xf>
    <xf numFmtId="4" fontId="10" fillId="0" borderId="42" xfId="0" applyNumberFormat="1" applyFont="1" applyFill="1" applyBorder="1" applyAlignment="1">
      <alignment horizontal="right"/>
    </xf>
    <xf numFmtId="0" fontId="15" fillId="0" borderId="40" xfId="0" applyFont="1" applyFill="1" applyBorder="1"/>
    <xf numFmtId="4" fontId="15" fillId="0" borderId="41" xfId="0" applyNumberFormat="1" applyFont="1" applyFill="1" applyBorder="1" applyAlignment="1">
      <alignment horizontal="right"/>
    </xf>
    <xf numFmtId="4" fontId="15" fillId="0" borderId="42" xfId="0" applyNumberFormat="1" applyFont="1" applyFill="1" applyBorder="1" applyAlignment="1">
      <alignment horizontal="right"/>
    </xf>
    <xf numFmtId="4" fontId="10" fillId="0" borderId="34" xfId="0" applyNumberFormat="1" applyFont="1" applyFill="1" applyBorder="1" applyAlignment="1">
      <alignment horizontal="right"/>
    </xf>
    <xf numFmtId="4" fontId="10" fillId="0" borderId="26" xfId="0" applyNumberFormat="1" applyFont="1" applyFill="1" applyBorder="1" applyAlignment="1">
      <alignment horizontal="right"/>
    </xf>
    <xf numFmtId="0" fontId="10" fillId="4" borderId="40" xfId="0" applyFont="1" applyFill="1" applyBorder="1"/>
    <xf numFmtId="4" fontId="10" fillId="4" borderId="41" xfId="0" applyNumberFormat="1" applyFont="1" applyFill="1" applyBorder="1" applyAlignment="1">
      <alignment horizontal="right"/>
    </xf>
    <xf numFmtId="4" fontId="10" fillId="4" borderId="42" xfId="0" applyNumberFormat="1" applyFont="1" applyFill="1" applyBorder="1" applyAlignment="1">
      <alignment horizontal="right"/>
    </xf>
    <xf numFmtId="0" fontId="10" fillId="4" borderId="43" xfId="0" applyFont="1" applyFill="1" applyBorder="1"/>
    <xf numFmtId="4" fontId="10" fillId="4" borderId="44" xfId="0" applyNumberFormat="1" applyFont="1" applyFill="1" applyBorder="1" applyAlignment="1">
      <alignment horizontal="right"/>
    </xf>
    <xf numFmtId="4" fontId="10" fillId="4" borderId="45" xfId="0" applyNumberFormat="1" applyFont="1" applyFill="1" applyBorder="1" applyAlignment="1">
      <alignment horizontal="right"/>
    </xf>
    <xf numFmtId="0" fontId="11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4" fontId="10" fillId="2" borderId="26" xfId="0" applyNumberFormat="1" applyFont="1" applyFill="1" applyBorder="1" applyAlignment="1">
      <alignment horizontal="right"/>
    </xf>
    <xf numFmtId="4" fontId="15" fillId="0" borderId="26" xfId="0" applyNumberFormat="1" applyFont="1" applyBorder="1" applyAlignment="1">
      <alignment horizontal="right"/>
    </xf>
    <xf numFmtId="4" fontId="10" fillId="2" borderId="46" xfId="0" applyNumberFormat="1" applyFont="1" applyFill="1" applyBorder="1" applyAlignment="1">
      <alignment horizontal="right"/>
    </xf>
    <xf numFmtId="4" fontId="10" fillId="5" borderId="26" xfId="0" applyNumberFormat="1" applyFont="1" applyFill="1" applyBorder="1" applyAlignment="1">
      <alignment horizontal="right"/>
    </xf>
    <xf numFmtId="4" fontId="10" fillId="5" borderId="54" xfId="0" applyNumberFormat="1" applyFont="1" applyFill="1" applyBorder="1" applyAlignment="1">
      <alignment horizontal="right"/>
    </xf>
    <xf numFmtId="0" fontId="6" fillId="0" borderId="0" xfId="3" applyFont="1" applyFill="1" applyAlignment="1" applyProtection="1">
      <alignment vertical="center" wrapText="1"/>
    </xf>
    <xf numFmtId="0" fontId="6" fillId="0" borderId="0" xfId="3" applyFont="1" applyFill="1" applyAlignment="1" applyProtection="1">
      <alignment vertical="center"/>
    </xf>
    <xf numFmtId="0" fontId="17" fillId="4" borderId="12" xfId="3" applyFont="1" applyFill="1" applyBorder="1" applyAlignment="1" applyProtection="1">
      <alignment horizontal="center" vertical="center" wrapText="1"/>
    </xf>
    <xf numFmtId="4" fontId="17" fillId="4" borderId="12" xfId="3" applyNumberFormat="1" applyFont="1" applyFill="1" applyBorder="1" applyAlignment="1" applyProtection="1">
      <alignment horizontal="center" vertical="center" wrapText="1"/>
    </xf>
    <xf numFmtId="0" fontId="17" fillId="4" borderId="21" xfId="3" applyFont="1" applyFill="1" applyBorder="1" applyAlignment="1" applyProtection="1">
      <alignment horizontal="center" vertical="center" wrapText="1"/>
    </xf>
    <xf numFmtId="0" fontId="17" fillId="0" borderId="55" xfId="3" applyFont="1" applyFill="1" applyBorder="1" applyAlignment="1" applyProtection="1">
      <alignment horizontal="center" vertical="center"/>
    </xf>
    <xf numFmtId="4" fontId="17" fillId="0" borderId="56" xfId="3" applyNumberFormat="1" applyFont="1" applyFill="1" applyBorder="1" applyAlignment="1" applyProtection="1">
      <alignment horizontal="center" vertical="center" wrapText="1"/>
    </xf>
    <xf numFmtId="0" fontId="17" fillId="0" borderId="57" xfId="3" applyFont="1" applyFill="1" applyBorder="1" applyAlignment="1" applyProtection="1">
      <alignment horizontal="center" vertical="center" wrapText="1"/>
    </xf>
    <xf numFmtId="0" fontId="17" fillId="4" borderId="58" xfId="3" applyFont="1" applyFill="1" applyBorder="1" applyAlignment="1" applyProtection="1">
      <alignment vertical="center" wrapText="1"/>
    </xf>
    <xf numFmtId="4" fontId="17" fillId="4" borderId="58" xfId="3" applyNumberFormat="1" applyFont="1" applyFill="1" applyBorder="1" applyAlignment="1" applyProtection="1">
      <alignment vertical="center"/>
    </xf>
    <xf numFmtId="4" fontId="17" fillId="4" borderId="59" xfId="3" applyNumberFormat="1" applyFont="1" applyFill="1" applyBorder="1" applyAlignment="1" applyProtection="1">
      <alignment vertical="center"/>
    </xf>
    <xf numFmtId="0" fontId="17" fillId="0" borderId="60" xfId="3" applyFont="1" applyFill="1" applyBorder="1" applyAlignment="1" applyProtection="1">
      <alignment vertical="center" wrapText="1"/>
    </xf>
    <xf numFmtId="4" fontId="17" fillId="0" borderId="60" xfId="3" applyNumberFormat="1" applyFont="1" applyFill="1" applyBorder="1" applyAlignment="1" applyProtection="1">
      <alignment vertical="center"/>
    </xf>
    <xf numFmtId="4" fontId="17" fillId="0" borderId="61" xfId="3" applyNumberFormat="1" applyFont="1" applyFill="1" applyBorder="1" applyAlignment="1" applyProtection="1">
      <alignment vertical="center"/>
    </xf>
    <xf numFmtId="0" fontId="18" fillId="0" borderId="62" xfId="3" applyFont="1" applyFill="1" applyBorder="1" applyAlignment="1" applyProtection="1">
      <alignment vertical="center" wrapText="1"/>
    </xf>
    <xf numFmtId="4" fontId="18" fillId="0" borderId="62" xfId="3" applyNumberFormat="1" applyFont="1" applyFill="1" applyBorder="1" applyAlignment="1" applyProtection="1">
      <alignment vertical="center"/>
      <protection locked="0"/>
    </xf>
    <xf numFmtId="4" fontId="18" fillId="0" borderId="63" xfId="3" applyNumberFormat="1" applyFont="1" applyFill="1" applyBorder="1" applyAlignment="1" applyProtection="1">
      <alignment vertical="center"/>
    </xf>
    <xf numFmtId="0" fontId="18" fillId="0" borderId="62" xfId="3" quotePrefix="1" applyFont="1" applyFill="1" applyBorder="1" applyAlignment="1" applyProtection="1">
      <alignment vertical="center" wrapText="1"/>
      <protection locked="0"/>
    </xf>
    <xf numFmtId="0" fontId="17" fillId="4" borderId="64" xfId="3" applyFont="1" applyFill="1" applyBorder="1" applyAlignment="1" applyProtection="1">
      <alignment vertical="center" wrapText="1"/>
    </xf>
    <xf numFmtId="4" fontId="17" fillId="4" borderId="64" xfId="3" applyNumberFormat="1" applyFont="1" applyFill="1" applyBorder="1" applyAlignment="1" applyProtection="1">
      <alignment vertical="center"/>
    </xf>
    <xf numFmtId="4" fontId="17" fillId="4" borderId="65" xfId="3" applyNumberFormat="1" applyFont="1" applyFill="1" applyBorder="1" applyAlignment="1" applyProtection="1">
      <alignment vertical="center"/>
    </xf>
    <xf numFmtId="0" fontId="17" fillId="0" borderId="55" xfId="3" applyFont="1" applyFill="1" applyBorder="1" applyAlignment="1" applyProtection="1">
      <alignment horizontal="centerContinuous" vertical="center"/>
    </xf>
    <xf numFmtId="0" fontId="6" fillId="0" borderId="56" xfId="3" applyFont="1" applyFill="1" applyBorder="1" applyAlignment="1" applyProtection="1">
      <alignment vertical="center"/>
    </xf>
    <xf numFmtId="0" fontId="6" fillId="0" borderId="57" xfId="3" applyFont="1" applyFill="1" applyBorder="1" applyAlignment="1" applyProtection="1">
      <alignment vertical="center"/>
    </xf>
    <xf numFmtId="4" fontId="6" fillId="0" borderId="60" xfId="3" applyNumberFormat="1" applyFont="1" applyFill="1" applyBorder="1" applyAlignment="1" applyProtection="1">
      <alignment vertical="center"/>
    </xf>
    <xf numFmtId="4" fontId="6" fillId="0" borderId="61" xfId="3" applyNumberFormat="1" applyFont="1" applyFill="1" applyBorder="1" applyAlignment="1" applyProtection="1">
      <alignment vertical="center"/>
    </xf>
    <xf numFmtId="4" fontId="17" fillId="4" borderId="60" xfId="3" applyNumberFormat="1" applyFont="1" applyFill="1" applyBorder="1" applyAlignment="1" applyProtection="1">
      <alignment vertical="center"/>
    </xf>
    <xf numFmtId="4" fontId="17" fillId="4" borderId="61" xfId="3" applyNumberFormat="1" applyFont="1" applyFill="1" applyBorder="1" applyAlignment="1" applyProtection="1">
      <alignment vertical="center"/>
    </xf>
    <xf numFmtId="4" fontId="17" fillId="4" borderId="8" xfId="3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wrapText="1"/>
    </xf>
    <xf numFmtId="0" fontId="10" fillId="5" borderId="66" xfId="0" applyFont="1" applyFill="1" applyBorder="1" applyAlignment="1">
      <alignment horizontal="center" wrapText="1"/>
    </xf>
    <xf numFmtId="0" fontId="10" fillId="5" borderId="34" xfId="0" applyFont="1" applyFill="1" applyBorder="1" applyAlignment="1">
      <alignment horizontal="center" wrapText="1"/>
    </xf>
    <xf numFmtId="0" fontId="10" fillId="5" borderId="61" xfId="0" applyFont="1" applyFill="1" applyBorder="1" applyAlignment="1">
      <alignment horizontal="center" wrapText="1"/>
    </xf>
    <xf numFmtId="0" fontId="10" fillId="5" borderId="67" xfId="0" applyFont="1" applyFill="1" applyBorder="1" applyAlignment="1">
      <alignment horizontal="center" wrapText="1"/>
    </xf>
    <xf numFmtId="0" fontId="10" fillId="5" borderId="68" xfId="0" applyFont="1" applyFill="1" applyBorder="1" applyAlignment="1">
      <alignment horizontal="center" wrapText="1"/>
    </xf>
    <xf numFmtId="0" fontId="10" fillId="5" borderId="59" xfId="0" applyFont="1" applyFill="1" applyBorder="1" applyAlignment="1">
      <alignment horizontal="center" wrapText="1"/>
    </xf>
    <xf numFmtId="0" fontId="10" fillId="0" borderId="60" xfId="0" applyFont="1" applyBorder="1" applyAlignment="1">
      <alignment wrapText="1"/>
    </xf>
    <xf numFmtId="4" fontId="10" fillId="0" borderId="66" xfId="0" applyNumberFormat="1" applyFont="1" applyBorder="1" applyAlignment="1">
      <alignment horizontal="right"/>
    </xf>
    <xf numFmtId="4" fontId="15" fillId="0" borderId="69" xfId="0" applyNumberFormat="1" applyFont="1" applyBorder="1" applyAlignment="1">
      <alignment horizontal="right"/>
    </xf>
    <xf numFmtId="0" fontId="20" fillId="0" borderId="60" xfId="0" applyFont="1" applyFill="1" applyBorder="1" applyAlignment="1">
      <alignment vertical="center" wrapText="1"/>
    </xf>
    <xf numFmtId="4" fontId="15" fillId="0" borderId="50" xfId="0" applyNumberFormat="1" applyFont="1" applyBorder="1" applyAlignment="1">
      <alignment horizontal="right"/>
    </xf>
    <xf numFmtId="4" fontId="15" fillId="0" borderId="34" xfId="0" applyNumberFormat="1" applyFont="1" applyBorder="1" applyAlignment="1">
      <alignment horizontal="right"/>
    </xf>
    <xf numFmtId="4" fontId="15" fillId="0" borderId="70" xfId="0" applyNumberFormat="1" applyFont="1" applyBorder="1" applyAlignment="1">
      <alignment horizontal="right"/>
    </xf>
    <xf numFmtId="4" fontId="15" fillId="0" borderId="66" xfId="0" applyNumberFormat="1" applyFont="1" applyBorder="1" applyAlignment="1">
      <alignment horizontal="right"/>
    </xf>
    <xf numFmtId="0" fontId="10" fillId="4" borderId="8" xfId="0" applyFont="1" applyFill="1" applyBorder="1" applyAlignment="1">
      <alignment wrapText="1"/>
    </xf>
    <xf numFmtId="4" fontId="10" fillId="6" borderId="71" xfId="0" applyNumberFormat="1" applyFont="1" applyFill="1" applyBorder="1" applyAlignment="1">
      <alignment horizontal="right"/>
    </xf>
    <xf numFmtId="4" fontId="10" fillId="6" borderId="64" xfId="0" applyNumberFormat="1" applyFont="1" applyFill="1" applyBorder="1" applyAlignment="1">
      <alignment horizontal="right"/>
    </xf>
    <xf numFmtId="0" fontId="11" fillId="5" borderId="72" xfId="0" applyFont="1" applyFill="1" applyBorder="1" applyAlignment="1">
      <alignment horizontal="center" wrapText="1"/>
    </xf>
    <xf numFmtId="0" fontId="10" fillId="5" borderId="73" xfId="0" applyFont="1" applyFill="1" applyBorder="1" applyAlignment="1">
      <alignment horizontal="center" wrapText="1"/>
    </xf>
    <xf numFmtId="0" fontId="10" fillId="5" borderId="74" xfId="0" applyFont="1" applyFill="1" applyBorder="1" applyAlignment="1">
      <alignment horizontal="center" wrapText="1"/>
    </xf>
    <xf numFmtId="0" fontId="11" fillId="0" borderId="71" xfId="0" applyFont="1" applyBorder="1" applyAlignment="1">
      <alignment wrapText="1"/>
    </xf>
    <xf numFmtId="4" fontId="11" fillId="0" borderId="75" xfId="0" applyNumberFormat="1" applyFont="1" applyBorder="1" applyAlignment="1">
      <alignment horizontal="right"/>
    </xf>
    <xf numFmtId="4" fontId="11" fillId="0" borderId="76" xfId="0" applyNumberFormat="1" applyFont="1" applyBorder="1" applyAlignment="1">
      <alignment horizontal="right"/>
    </xf>
    <xf numFmtId="4" fontId="11" fillId="0" borderId="41" xfId="0" applyNumberFormat="1" applyFont="1" applyBorder="1" applyAlignment="1">
      <alignment horizontal="right"/>
    </xf>
    <xf numFmtId="4" fontId="11" fillId="0" borderId="42" xfId="0" applyNumberFormat="1" applyFont="1" applyBorder="1" applyAlignment="1">
      <alignment horizontal="right"/>
    </xf>
    <xf numFmtId="4" fontId="11" fillId="0" borderId="80" xfId="0" applyNumberFormat="1" applyFont="1" applyBorder="1" applyAlignment="1">
      <alignment horizontal="right"/>
    </xf>
    <xf numFmtId="4" fontId="11" fillId="0" borderId="81" xfId="0" applyNumberFormat="1" applyFont="1" applyBorder="1" applyAlignment="1">
      <alignment horizontal="right"/>
    </xf>
    <xf numFmtId="4" fontId="11" fillId="0" borderId="36" xfId="0" applyNumberFormat="1" applyFont="1" applyFill="1" applyBorder="1" applyAlignment="1">
      <alignment horizontal="right"/>
    </xf>
    <xf numFmtId="4" fontId="11" fillId="0" borderId="82" xfId="0" applyNumberFormat="1" applyFont="1" applyFill="1" applyBorder="1" applyAlignment="1">
      <alignment horizontal="right"/>
    </xf>
    <xf numFmtId="4" fontId="11" fillId="0" borderId="84" xfId="0" applyNumberFormat="1" applyFont="1" applyFill="1" applyBorder="1" applyAlignment="1">
      <alignment horizontal="right"/>
    </xf>
    <xf numFmtId="4" fontId="11" fillId="0" borderId="85" xfId="0" applyNumberFormat="1" applyFont="1" applyFill="1" applyBorder="1" applyAlignment="1">
      <alignment horizontal="right"/>
    </xf>
    <xf numFmtId="4" fontId="21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8" fillId="7" borderId="12" xfId="0" applyNumberFormat="1" applyFont="1" applyFill="1" applyBorder="1" applyAlignment="1">
      <alignment horizontal="center" vertical="center" wrapText="1"/>
    </xf>
    <xf numFmtId="4" fontId="8" fillId="7" borderId="29" xfId="0" applyNumberFormat="1" applyFont="1" applyFill="1" applyBorder="1" applyAlignment="1">
      <alignment horizontal="center" vertical="center" wrapText="1"/>
    </xf>
    <xf numFmtId="4" fontId="17" fillId="4" borderId="29" xfId="0" applyNumberFormat="1" applyFont="1" applyFill="1" applyBorder="1" applyAlignment="1">
      <alignment horizontal="center" vertical="center" wrapText="1"/>
    </xf>
    <xf numFmtId="4" fontId="8" fillId="7" borderId="21" xfId="0" applyNumberFormat="1" applyFont="1" applyFill="1" applyBorder="1" applyAlignment="1">
      <alignment horizontal="center" vertical="center" wrapText="1"/>
    </xf>
    <xf numFmtId="4" fontId="8" fillId="8" borderId="56" xfId="0" applyNumberFormat="1" applyFont="1" applyFill="1" applyBorder="1" applyAlignment="1">
      <alignment vertical="center"/>
    </xf>
    <xf numFmtId="4" fontId="8" fillId="8" borderId="57" xfId="0" applyNumberFormat="1" applyFont="1" applyFill="1" applyBorder="1" applyAlignment="1">
      <alignment vertical="center"/>
    </xf>
    <xf numFmtId="3" fontId="9" fillId="0" borderId="60" xfId="0" applyNumberFormat="1" applyFont="1" applyFill="1" applyBorder="1" applyAlignment="1">
      <alignment vertical="center"/>
    </xf>
    <xf numFmtId="4" fontId="9" fillId="0" borderId="60" xfId="0" applyNumberFormat="1" applyFont="1" applyFill="1" applyBorder="1" applyAlignment="1">
      <alignment vertical="center"/>
    </xf>
    <xf numFmtId="0" fontId="11" fillId="0" borderId="0" xfId="0" applyFont="1" applyBorder="1" applyAlignment="1">
      <alignment wrapText="1"/>
    </xf>
    <xf numFmtId="4" fontId="8" fillId="7" borderId="12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3" fontId="9" fillId="0" borderId="58" xfId="0" applyNumberFormat="1" applyFont="1" applyFill="1" applyBorder="1" applyAlignment="1">
      <alignment vertical="center"/>
    </xf>
    <xf numFmtId="4" fontId="8" fillId="7" borderId="29" xfId="0" applyNumberFormat="1" applyFont="1" applyFill="1" applyBorder="1" applyAlignment="1">
      <alignment vertical="center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" fontId="9" fillId="7" borderId="87" xfId="0" applyNumberFormat="1" applyFont="1" applyFill="1" applyBorder="1" applyAlignment="1" applyProtection="1">
      <alignment horizontal="center" vertical="center" wrapText="1"/>
      <protection locked="0"/>
    </xf>
    <xf numFmtId="4" fontId="9" fillId="7" borderId="88" xfId="0" applyNumberFormat="1" applyFont="1" applyFill="1" applyBorder="1" applyAlignment="1" applyProtection="1">
      <alignment horizontal="center" vertical="center" wrapText="1"/>
      <protection locked="0"/>
    </xf>
    <xf numFmtId="4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9" xfId="0" applyNumberFormat="1" applyFont="1" applyFill="1" applyBorder="1" applyAlignment="1" applyProtection="1">
      <alignment vertical="center"/>
      <protection locked="0"/>
    </xf>
    <xf numFmtId="4" fontId="9" fillId="0" borderId="89" xfId="0" applyNumberFormat="1" applyFont="1" applyFill="1" applyBorder="1" applyAlignment="1" applyProtection="1">
      <alignment vertical="center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9" fontId="8" fillId="0" borderId="58" xfId="0" applyNumberFormat="1" applyFont="1" applyFill="1" applyBorder="1" applyAlignment="1" applyProtection="1">
      <alignment vertical="center"/>
      <protection locked="0"/>
    </xf>
    <xf numFmtId="4" fontId="9" fillId="0" borderId="60" xfId="0" applyNumberFormat="1" applyFont="1" applyFill="1" applyBorder="1" applyAlignment="1" applyProtection="1">
      <alignment vertical="center"/>
      <protection locked="0"/>
    </xf>
    <xf numFmtId="49" fontId="9" fillId="0" borderId="58" xfId="0" applyNumberFormat="1" applyFont="1" applyFill="1" applyBorder="1" applyAlignment="1" applyProtection="1">
      <alignment vertical="center"/>
      <protection locked="0"/>
    </xf>
    <xf numFmtId="49" fontId="9" fillId="0" borderId="60" xfId="0" applyNumberFormat="1" applyFont="1" applyFill="1" applyBorder="1" applyAlignment="1" applyProtection="1">
      <alignment vertical="center"/>
      <protection locked="0"/>
    </xf>
    <xf numFmtId="4" fontId="9" fillId="0" borderId="64" xfId="0" applyNumberFormat="1" applyFont="1" applyFill="1" applyBorder="1" applyAlignment="1" applyProtection="1">
      <alignment vertical="center"/>
      <protection locked="0"/>
    </xf>
    <xf numFmtId="4" fontId="9" fillId="0" borderId="65" xfId="0" applyNumberFormat="1" applyFont="1" applyFill="1" applyBorder="1" applyAlignment="1" applyProtection="1">
      <alignment vertical="center"/>
      <protection locked="0"/>
    </xf>
    <xf numFmtId="4" fontId="8" fillId="4" borderId="12" xfId="0" applyNumberFormat="1" applyFont="1" applyFill="1" applyBorder="1" applyAlignment="1" applyProtection="1">
      <alignment vertical="center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4" fontId="17" fillId="4" borderId="88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88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8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4" fontId="8" fillId="0" borderId="95" xfId="0" applyNumberFormat="1" applyFont="1" applyFill="1" applyBorder="1" applyAlignment="1" applyProtection="1">
      <alignment horizontal="right" vertical="center" wrapText="1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4" fontId="8" fillId="0" borderId="70" xfId="0" applyNumberFormat="1" applyFont="1" applyFill="1" applyBorder="1" applyAlignment="1" applyProtection="1">
      <alignment horizontal="right" vertical="center" wrapText="1"/>
    </xf>
    <xf numFmtId="4" fontId="9" fillId="0" borderId="75" xfId="0" applyNumberFormat="1" applyFont="1" applyBorder="1" applyAlignment="1" applyProtection="1">
      <alignment horizontal="right" vertical="center" wrapText="1"/>
      <protection locked="0"/>
    </xf>
    <xf numFmtId="4" fontId="8" fillId="0" borderId="96" xfId="0" applyNumberFormat="1" applyFont="1" applyFill="1" applyBorder="1" applyAlignment="1" applyProtection="1">
      <alignment horizontal="right" vertical="center" wrapText="1"/>
    </xf>
    <xf numFmtId="4" fontId="8" fillId="7" borderId="97" xfId="0" applyNumberFormat="1" applyFont="1" applyFill="1" applyBorder="1" applyAlignment="1" applyProtection="1">
      <alignment horizontal="right" vertical="center" wrapText="1"/>
    </xf>
    <xf numFmtId="4" fontId="8" fillId="7" borderId="98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Alignment="1" applyProtection="1">
      <alignment horizontal="left" vertical="center" wrapText="1"/>
      <protection locked="0"/>
    </xf>
    <xf numFmtId="4" fontId="17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right" vertical="center" wrapText="1"/>
    </xf>
    <xf numFmtId="4" fontId="9" fillId="0" borderId="58" xfId="0" applyNumberFormat="1" applyFont="1" applyBorder="1" applyAlignment="1" applyProtection="1">
      <alignment horizontal="right" vertical="center" wrapText="1"/>
      <protection locked="0"/>
    </xf>
    <xf numFmtId="4" fontId="17" fillId="7" borderId="29" xfId="0" applyNumberFormat="1" applyFont="1" applyFill="1" applyBorder="1" applyAlignment="1" applyProtection="1">
      <alignment horizontal="right" vertical="center" wrapText="1"/>
    </xf>
    <xf numFmtId="4" fontId="8" fillId="7" borderId="29" xfId="0" applyNumberFormat="1" applyFont="1" applyFill="1" applyBorder="1" applyAlignment="1" applyProtection="1">
      <alignment horizontal="right" vertical="center" wrapText="1"/>
    </xf>
    <xf numFmtId="4" fontId="8" fillId="4" borderId="12" xfId="0" applyNumberFormat="1" applyFont="1" applyFill="1" applyBorder="1" applyAlignment="1" applyProtection="1">
      <alignment horizontal="right" vertical="center" wrapText="1"/>
    </xf>
    <xf numFmtId="4" fontId="8" fillId="7" borderId="21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Alignment="1">
      <alignment horizontal="justify" vertical="center"/>
    </xf>
    <xf numFmtId="4" fontId="17" fillId="7" borderId="12" xfId="0" applyNumberFormat="1" applyFont="1" applyFill="1" applyBorder="1" applyAlignment="1">
      <alignment horizontal="center" vertical="center" wrapText="1"/>
    </xf>
    <xf numFmtId="4" fontId="9" fillId="0" borderId="89" xfId="0" applyNumberFormat="1" applyFont="1" applyBorder="1" applyAlignment="1" applyProtection="1">
      <alignment horizontal="right"/>
      <protection locked="0"/>
    </xf>
    <xf numFmtId="4" fontId="9" fillId="0" borderId="60" xfId="0" applyNumberFormat="1" applyFont="1" applyBorder="1" applyAlignment="1" applyProtection="1">
      <alignment horizontal="right"/>
      <protection locked="0"/>
    </xf>
    <xf numFmtId="4" fontId="9" fillId="0" borderId="64" xfId="0" applyNumberFormat="1" applyFont="1" applyBorder="1" applyAlignment="1" applyProtection="1">
      <alignment horizontal="right"/>
      <protection locked="0"/>
    </xf>
    <xf numFmtId="4" fontId="8" fillId="4" borderId="21" xfId="0" applyNumberFormat="1" applyFont="1" applyFill="1" applyBorder="1" applyAlignment="1" applyProtection="1">
      <alignment horizontal="right" vertical="center"/>
    </xf>
    <xf numFmtId="4" fontId="8" fillId="7" borderId="12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justify"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Alignment="1">
      <alignment vertical="center"/>
    </xf>
    <xf numFmtId="4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89" xfId="0" applyNumberFormat="1" applyFont="1" applyBorder="1" applyAlignment="1" applyProtection="1">
      <alignment horizontal="right" vertical="center" wrapText="1"/>
      <protection locked="0"/>
    </xf>
    <xf numFmtId="4" fontId="9" fillId="0" borderId="57" xfId="0" applyNumberFormat="1" applyFont="1" applyBorder="1" applyAlignment="1" applyProtection="1">
      <alignment horizontal="right" vertical="center" wrapText="1"/>
      <protection locked="0"/>
    </xf>
    <xf numFmtId="4" fontId="9" fillId="0" borderId="60" xfId="0" applyNumberFormat="1" applyFont="1" applyBorder="1" applyAlignment="1" applyProtection="1">
      <alignment horizontal="right" vertical="center" wrapText="1"/>
      <protection locked="0"/>
    </xf>
    <xf numFmtId="4" fontId="9" fillId="0" borderId="61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17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2" xfId="0" applyNumberFormat="1" applyFont="1" applyFill="1" applyBorder="1" applyAlignment="1" applyProtection="1">
      <alignment horizontal="right" vertical="center"/>
    </xf>
    <xf numFmtId="4" fontId="9" fillId="0" borderId="89" xfId="0" applyNumberFormat="1" applyFont="1" applyFill="1" applyBorder="1" applyAlignment="1" applyProtection="1">
      <alignment horizontal="right" vertical="center"/>
      <protection locked="0"/>
    </xf>
    <xf numFmtId="4" fontId="9" fillId="0" borderId="60" xfId="0" applyNumberFormat="1" applyFont="1" applyFill="1" applyBorder="1" applyAlignment="1" applyProtection="1">
      <alignment horizontal="right" vertical="center"/>
      <protection locked="0"/>
    </xf>
    <xf numFmtId="4" fontId="9" fillId="0" borderId="64" xfId="0" applyNumberFormat="1" applyFont="1" applyFill="1" applyBorder="1" applyAlignment="1" applyProtection="1">
      <alignment horizontal="right" vertical="center"/>
      <protection locked="0"/>
    </xf>
    <xf numFmtId="4" fontId="17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8" xfId="0" applyNumberFormat="1" applyFont="1" applyBorder="1" applyAlignment="1" applyProtection="1">
      <alignment vertical="center"/>
      <protection locked="0"/>
    </xf>
    <xf numFmtId="4" fontId="25" fillId="0" borderId="58" xfId="0" applyNumberFormat="1" applyFont="1" applyBorder="1" applyAlignment="1" applyProtection="1">
      <alignment vertical="center"/>
      <protection locked="0"/>
    </xf>
    <xf numFmtId="4" fontId="8" fillId="4" borderId="12" xfId="0" applyNumberFormat="1" applyFont="1" applyFill="1" applyBorder="1" applyAlignment="1" applyProtection="1">
      <alignment vertical="center"/>
    </xf>
    <xf numFmtId="4" fontId="17" fillId="4" borderId="20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 applyProtection="1">
      <alignment horizontal="right" vertical="center"/>
      <protection locked="0"/>
    </xf>
    <xf numFmtId="4" fontId="9" fillId="0" borderId="103" xfId="0" applyNumberFormat="1" applyFont="1" applyBorder="1" applyAlignment="1">
      <alignment vertical="center" wrapText="1"/>
    </xf>
    <xf numFmtId="4" fontId="26" fillId="0" borderId="0" xfId="0" applyNumberFormat="1" applyFont="1" applyFill="1" applyAlignment="1" applyProtection="1">
      <alignment vertical="center"/>
      <protection locked="0"/>
    </xf>
    <xf numFmtId="4" fontId="27" fillId="0" borderId="0" xfId="0" applyNumberFormat="1" applyFont="1" applyFill="1" applyAlignment="1" applyProtection="1">
      <alignment vertical="center"/>
      <protection locked="0"/>
    </xf>
    <xf numFmtId="4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03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97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9" xfId="3" applyFont="1" applyFill="1" applyBorder="1" applyAlignment="1" applyProtection="1">
      <alignment vertical="center" wrapText="1"/>
    </xf>
    <xf numFmtId="4" fontId="8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8" fillId="0" borderId="12" xfId="0" applyNumberFormat="1" applyFont="1" applyFill="1" applyBorder="1" applyAlignment="1" applyProtection="1">
      <alignment vertical="center" wrapText="1"/>
      <protection locked="0"/>
    </xf>
    <xf numFmtId="4" fontId="8" fillId="0" borderId="20" xfId="0" applyNumberFormat="1" applyFont="1" applyFill="1" applyBorder="1" applyAlignment="1" applyProtection="1">
      <alignment vertical="center" wrapText="1"/>
      <protection locked="0"/>
    </xf>
    <xf numFmtId="4" fontId="8" fillId="0" borderId="88" xfId="0" applyNumberFormat="1" applyFont="1" applyFill="1" applyBorder="1" applyAlignment="1" applyProtection="1">
      <alignment vertical="center" wrapText="1"/>
      <protection locked="0"/>
    </xf>
    <xf numFmtId="4" fontId="8" fillId="0" borderId="94" xfId="0" applyNumberFormat="1" applyFont="1" applyFill="1" applyBorder="1" applyAlignment="1" applyProtection="1">
      <alignment vertical="center" wrapText="1"/>
      <protection locked="0"/>
    </xf>
    <xf numFmtId="4" fontId="8" fillId="0" borderId="21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8" fillId="0" borderId="0" xfId="0" applyNumberFormat="1" applyFont="1" applyFill="1" applyBorder="1" applyAlignment="1" applyProtection="1">
      <alignment horizontal="right" vertical="center" wrapText="1"/>
    </xf>
    <xf numFmtId="4" fontId="9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9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60" xfId="0" applyNumberFormat="1" applyFont="1" applyFill="1" applyBorder="1" applyAlignment="1" applyProtection="1">
      <alignment vertical="center" wrapText="1"/>
      <protection locked="0"/>
    </xf>
    <xf numFmtId="4" fontId="6" fillId="0" borderId="60" xfId="0" applyNumberFormat="1" applyFont="1" applyFill="1" applyBorder="1" applyAlignment="1" applyProtection="1">
      <alignment vertical="center" wrapText="1"/>
      <protection locked="0"/>
    </xf>
    <xf numFmtId="4" fontId="17" fillId="0" borderId="12" xfId="0" applyNumberFormat="1" applyFont="1" applyFill="1" applyBorder="1" applyAlignment="1">
      <alignment horizontal="left" vertical="center" wrapText="1"/>
    </xf>
    <xf numFmtId="4" fontId="17" fillId="0" borderId="20" xfId="0" applyNumberFormat="1" applyFont="1" applyFill="1" applyBorder="1" applyAlignment="1" applyProtection="1">
      <alignment horizontal="right" vertical="center" wrapText="1"/>
    </xf>
    <xf numFmtId="4" fontId="17" fillId="0" borderId="88" xfId="0" applyNumberFormat="1" applyFont="1" applyFill="1" applyBorder="1" applyAlignment="1" applyProtection="1">
      <alignment horizontal="right" vertical="center" wrapText="1"/>
    </xf>
    <xf numFmtId="4" fontId="17" fillId="0" borderId="94" xfId="0" applyNumberFormat="1" applyFont="1" applyFill="1" applyBorder="1" applyAlignment="1" applyProtection="1">
      <alignment horizontal="right" vertical="center" wrapText="1"/>
    </xf>
    <xf numFmtId="4" fontId="17" fillId="0" borderId="12" xfId="0" applyNumberFormat="1" applyFont="1" applyFill="1" applyBorder="1" applyAlignment="1" applyProtection="1">
      <alignment horizontal="right" vertical="center" wrapText="1"/>
    </xf>
    <xf numFmtId="4" fontId="17" fillId="0" borderId="21" xfId="0" applyNumberFormat="1" applyFont="1" applyFill="1" applyBorder="1" applyAlignment="1" applyProtection="1">
      <alignment horizontal="right" vertical="center" wrapText="1"/>
    </xf>
    <xf numFmtId="4" fontId="17" fillId="0" borderId="87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9" xfId="0" applyNumberFormat="1" applyFont="1" applyFill="1" applyBorder="1" applyAlignment="1" applyProtection="1">
      <alignment vertical="center" wrapText="1"/>
      <protection locked="0"/>
    </xf>
    <xf numFmtId="4" fontId="6" fillId="0" borderId="55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8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" xfId="0" applyNumberFormat="1" applyFont="1" applyFill="1" applyBorder="1" applyAlignment="1" applyProtection="1">
      <alignment vertical="center" wrapText="1"/>
      <protection locked="0"/>
    </xf>
    <xf numFmtId="4" fontId="6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12" xfId="0" applyNumberFormat="1" applyFont="1" applyFill="1" applyBorder="1" applyAlignment="1" applyProtection="1">
      <alignment vertical="center" wrapText="1"/>
      <protection locked="0"/>
    </xf>
    <xf numFmtId="4" fontId="17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17" fillId="4" borderId="89" xfId="3" applyFont="1" applyFill="1" applyBorder="1" applyAlignment="1" applyProtection="1">
      <alignment vertical="center" wrapText="1"/>
    </xf>
    <xf numFmtId="4" fontId="8" fillId="4" borderId="20" xfId="0" applyNumberFormat="1" applyFont="1" applyFill="1" applyBorder="1" applyAlignment="1" applyProtection="1">
      <alignment horizontal="right" vertical="center" wrapText="1"/>
    </xf>
    <xf numFmtId="4" fontId="8" fillId="4" borderId="88" xfId="0" applyNumberFormat="1" applyFont="1" applyFill="1" applyBorder="1" applyAlignment="1" applyProtection="1">
      <alignment horizontal="right" vertical="center" wrapText="1"/>
    </xf>
    <xf numFmtId="4" fontId="8" fillId="4" borderId="21" xfId="0" applyNumberFormat="1" applyFont="1" applyFill="1" applyBorder="1" applyAlignment="1" applyProtection="1">
      <alignment horizontal="right" vertical="center" wrapText="1"/>
    </xf>
    <xf numFmtId="0" fontId="17" fillId="4" borderId="12" xfId="3" applyFont="1" applyFill="1" applyBorder="1" applyAlignment="1" applyProtection="1">
      <alignment vertical="center" wrapText="1"/>
    </xf>
    <xf numFmtId="4" fontId="6" fillId="0" borderId="0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horizontal="left" vertical="center"/>
    </xf>
    <xf numFmtId="4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89" xfId="0" applyNumberFormat="1" applyFont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>
      <alignment horizontal="left" vertical="center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right" vertical="center"/>
    </xf>
    <xf numFmtId="4" fontId="9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7" fillId="0" borderId="0" xfId="0" applyNumberFormat="1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horizontal="right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7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1" xfId="0" applyNumberFormat="1" applyFont="1" applyFill="1" applyBorder="1" applyAlignment="1" applyProtection="1">
      <alignment vertical="center"/>
    </xf>
    <xf numFmtId="4" fontId="8" fillId="0" borderId="12" xfId="0" applyNumberFormat="1" applyFont="1" applyFill="1" applyBorder="1" applyAlignment="1" applyProtection="1">
      <alignment vertical="center"/>
    </xf>
    <xf numFmtId="4" fontId="9" fillId="0" borderId="57" xfId="0" applyNumberFormat="1" applyFont="1" applyBorder="1" applyAlignment="1" applyProtection="1">
      <alignment vertical="center"/>
      <protection locked="0"/>
    </xf>
    <xf numFmtId="4" fontId="9" fillId="0" borderId="89" xfId="0" applyNumberFormat="1" applyFont="1" applyBorder="1" applyAlignment="1" applyProtection="1">
      <alignment vertical="center"/>
      <protection locked="0"/>
    </xf>
    <xf numFmtId="4" fontId="9" fillId="0" borderId="59" xfId="0" applyNumberFormat="1" applyFont="1" applyBorder="1" applyAlignment="1" applyProtection="1">
      <alignment vertical="center"/>
      <protection locked="0"/>
    </xf>
    <xf numFmtId="4" fontId="9" fillId="0" borderId="58" xfId="0" applyNumberFormat="1" applyFont="1" applyBorder="1" applyAlignment="1" applyProtection="1">
      <alignment vertical="center"/>
      <protection locked="0"/>
    </xf>
    <xf numFmtId="4" fontId="25" fillId="0" borderId="60" xfId="0" applyNumberFormat="1" applyFont="1" applyBorder="1" applyAlignment="1" applyProtection="1">
      <alignment vertical="center"/>
      <protection locked="0"/>
    </xf>
    <xf numFmtId="4" fontId="25" fillId="0" borderId="11" xfId="0" applyNumberFormat="1" applyFont="1" applyBorder="1" applyAlignment="1" applyProtection="1">
      <alignment vertical="center"/>
      <protection locked="0"/>
    </xf>
    <xf numFmtId="4" fontId="25" fillId="0" borderId="8" xfId="0" applyNumberFormat="1" applyFont="1" applyBorder="1" applyAlignment="1" applyProtection="1">
      <alignment vertical="center"/>
      <protection locked="0"/>
    </xf>
    <xf numFmtId="4" fontId="9" fillId="0" borderId="105" xfId="0" applyNumberFormat="1" applyFont="1" applyBorder="1" applyAlignment="1" applyProtection="1">
      <alignment vertical="center"/>
      <protection locked="0"/>
    </xf>
    <xf numFmtId="4" fontId="25" fillId="0" borderId="104" xfId="0" applyNumberFormat="1" applyFont="1" applyBorder="1" applyAlignment="1" applyProtection="1">
      <alignment vertical="center"/>
      <protection locked="0"/>
    </xf>
    <xf numFmtId="4" fontId="25" fillId="0" borderId="106" xfId="0" applyNumberFormat="1" applyFont="1" applyBorder="1" applyAlignment="1" applyProtection="1">
      <alignment vertical="center"/>
      <protection locked="0"/>
    </xf>
    <xf numFmtId="4" fontId="25" fillId="0" borderId="107" xfId="0" applyNumberFormat="1" applyFont="1" applyBorder="1" applyAlignment="1" applyProtection="1">
      <alignment vertical="center"/>
      <protection locked="0"/>
    </xf>
    <xf numFmtId="4" fontId="25" fillId="0" borderId="96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horizontal="left" vertical="center"/>
      <protection locked="0"/>
    </xf>
    <xf numFmtId="4" fontId="17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2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9" fillId="0" borderId="58" xfId="0" applyNumberFormat="1" applyFont="1" applyFill="1" applyBorder="1" applyAlignment="1" applyProtection="1">
      <alignment vertical="center"/>
    </xf>
    <xf numFmtId="4" fontId="9" fillId="0" borderId="0" xfId="0" applyNumberFormat="1" applyFont="1" applyFill="1" applyBorder="1" applyAlignment="1" applyProtection="1">
      <alignment vertical="center"/>
    </xf>
    <xf numFmtId="4" fontId="25" fillId="0" borderId="0" xfId="0" applyNumberFormat="1" applyFont="1" applyFill="1" applyBorder="1" applyAlignment="1" applyProtection="1">
      <alignment vertical="center"/>
      <protection locked="0"/>
    </xf>
    <xf numFmtId="4" fontId="9" fillId="0" borderId="60" xfId="0" applyNumberFormat="1" applyFont="1" applyFill="1" applyBorder="1" applyAlignment="1" applyProtection="1">
      <alignment vertical="center"/>
    </xf>
    <xf numFmtId="4" fontId="25" fillId="0" borderId="0" xfId="0" applyNumberFormat="1" applyFont="1" applyFill="1" applyBorder="1" applyAlignment="1" applyProtection="1">
      <alignment horizontal="left" vertical="center" indent="1"/>
      <protection locked="0"/>
    </xf>
    <xf numFmtId="4" fontId="25" fillId="0" borderId="0" xfId="0" applyNumberFormat="1" applyFont="1" applyBorder="1" applyAlignment="1" applyProtection="1">
      <alignment vertical="center"/>
      <protection locked="0"/>
    </xf>
    <xf numFmtId="4" fontId="25" fillId="0" borderId="89" xfId="0" applyNumberFormat="1" applyFont="1" applyBorder="1" applyAlignment="1" applyProtection="1">
      <alignment vertical="center"/>
      <protection locked="0"/>
    </xf>
    <xf numFmtId="4" fontId="25" fillId="0" borderId="64" xfId="0" applyNumberFormat="1" applyFont="1" applyBorder="1" applyAlignment="1" applyProtection="1">
      <alignment vertical="center"/>
      <protection locked="0"/>
    </xf>
    <xf numFmtId="4" fontId="8" fillId="0" borderId="89" xfId="0" applyNumberFormat="1" applyFont="1" applyBorder="1" applyAlignment="1" applyProtection="1">
      <alignment vertical="center"/>
      <protection locked="0"/>
    </xf>
    <xf numFmtId="4" fontId="25" fillId="0" borderId="89" xfId="0" applyNumberFormat="1" applyFont="1" applyFill="1" applyBorder="1" applyAlignment="1" applyProtection="1">
      <alignment vertical="center"/>
    </xf>
    <xf numFmtId="4" fontId="25" fillId="0" borderId="60" xfId="0" applyNumberFormat="1" applyFont="1" applyFill="1" applyBorder="1" applyAlignment="1" applyProtection="1">
      <alignment vertical="center"/>
    </xf>
    <xf numFmtId="4" fontId="25" fillId="0" borderId="64" xfId="0" applyNumberFormat="1" applyFont="1" applyFill="1" applyBorder="1" applyAlignment="1" applyProtection="1">
      <alignment vertical="center"/>
    </xf>
    <xf numFmtId="4" fontId="8" fillId="0" borderId="58" xfId="0" applyNumberFormat="1" applyFont="1" applyFill="1" applyBorder="1" applyAlignment="1" applyProtection="1">
      <alignment vertical="center"/>
    </xf>
    <xf numFmtId="4" fontId="8" fillId="0" borderId="60" xfId="0" applyNumberFormat="1" applyFont="1" applyFill="1" applyBorder="1" applyAlignment="1" applyProtection="1">
      <alignment vertical="center"/>
    </xf>
    <xf numFmtId="4" fontId="9" fillId="0" borderId="60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Alignment="1">
      <alignment horizontal="left"/>
    </xf>
    <xf numFmtId="0" fontId="11" fillId="0" borderId="0" xfId="0" applyFont="1" applyAlignment="1"/>
    <xf numFmtId="4" fontId="9" fillId="0" borderId="64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Alignment="1">
      <alignment vertical="center"/>
    </xf>
    <xf numFmtId="4" fontId="8" fillId="7" borderId="20" xfId="0" applyNumberFormat="1" applyFont="1" applyFill="1" applyBorder="1" applyAlignment="1">
      <alignment horizontal="center" vertical="center"/>
    </xf>
    <xf numFmtId="4" fontId="8" fillId="7" borderId="12" xfId="0" applyNumberFormat="1" applyFont="1" applyFill="1" applyBorder="1" applyAlignment="1">
      <alignment horizontal="center" vertical="center"/>
    </xf>
    <xf numFmtId="4" fontId="8" fillId="7" borderId="29" xfId="0" applyNumberFormat="1" applyFont="1" applyFill="1" applyBorder="1" applyAlignment="1">
      <alignment horizontal="center" vertical="center"/>
    </xf>
    <xf numFmtId="4" fontId="9" fillId="0" borderId="55" xfId="0" applyNumberFormat="1" applyFont="1" applyFill="1" applyBorder="1" applyAlignment="1" applyProtection="1">
      <alignment vertical="center"/>
      <protection locked="0"/>
    </xf>
    <xf numFmtId="4" fontId="9" fillId="0" borderId="58" xfId="0" applyNumberFormat="1" applyFont="1" applyFill="1" applyBorder="1" applyAlignment="1" applyProtection="1">
      <alignment vertical="center"/>
      <protection locked="0"/>
    </xf>
    <xf numFmtId="4" fontId="9" fillId="0" borderId="92" xfId="0" applyNumberFormat="1" applyFont="1" applyFill="1" applyBorder="1" applyAlignment="1" applyProtection="1">
      <alignment vertical="center"/>
      <protection locked="0"/>
    </xf>
    <xf numFmtId="4" fontId="8" fillId="4" borderId="20" xfId="0" applyNumberFormat="1" applyFont="1" applyFill="1" applyBorder="1" applyAlignment="1" applyProtection="1">
      <alignment vertical="center"/>
    </xf>
    <xf numFmtId="4" fontId="8" fillId="4" borderId="12" xfId="0" applyNumberFormat="1" applyFont="1" applyFill="1" applyBorder="1" applyAlignment="1">
      <alignment horizontal="center" vertical="center" wrapText="1"/>
    </xf>
    <xf numFmtId="3" fontId="9" fillId="0" borderId="103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2" borderId="1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wrapText="1"/>
    </xf>
    <xf numFmtId="0" fontId="0" fillId="2" borderId="6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164" fontId="5" fillId="0" borderId="0" xfId="0" applyNumberFormat="1" applyFont="1" applyFill="1" applyAlignment="1">
      <alignment horizontal="center" wrapText="1"/>
    </xf>
    <xf numFmtId="164" fontId="0" fillId="0" borderId="0" xfId="0" applyNumberFormat="1" applyFont="1" applyFill="1" applyAlignment="1">
      <alignment horizontal="center" wrapText="1"/>
    </xf>
    <xf numFmtId="0" fontId="0" fillId="2" borderId="25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8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0" fillId="2" borderId="0" xfId="0" applyFont="1" applyFill="1" applyBorder="1" applyAlignment="1">
      <alignment horizontal="left" vertical="top" wrapText="1"/>
    </xf>
    <xf numFmtId="0" fontId="0" fillId="2" borderId="2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4" fontId="0" fillId="2" borderId="0" xfId="0" applyNumberFormat="1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27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/>
    <xf numFmtId="4" fontId="8" fillId="0" borderId="0" xfId="0" applyNumberFormat="1" applyFont="1" applyAlignment="1">
      <alignment horizontal="left" vertical="center"/>
    </xf>
    <xf numFmtId="4" fontId="8" fillId="7" borderId="20" xfId="0" applyNumberFormat="1" applyFont="1" applyFill="1" applyBorder="1" applyAlignment="1">
      <alignment horizontal="center" vertical="center" wrapText="1"/>
    </xf>
    <xf numFmtId="4" fontId="8" fillId="7" borderId="21" xfId="0" applyNumberFormat="1" applyFont="1" applyFill="1" applyBorder="1" applyAlignment="1">
      <alignment horizontal="center" vertical="center" wrapText="1"/>
    </xf>
    <xf numFmtId="4" fontId="9" fillId="0" borderId="20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14" fontId="11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4" fontId="9" fillId="0" borderId="90" xfId="0" applyNumberFormat="1" applyFont="1" applyFill="1" applyBorder="1" applyAlignment="1">
      <alignment horizontal="left" vertical="center" wrapText="1" indent="1"/>
    </xf>
    <xf numFmtId="4" fontId="9" fillId="0" borderId="61" xfId="0" applyNumberFormat="1" applyFont="1" applyFill="1" applyBorder="1" applyAlignment="1">
      <alignment horizontal="left" vertical="center" wrapText="1" indent="1"/>
    </xf>
    <xf numFmtId="4" fontId="9" fillId="0" borderId="90" xfId="0" applyNumberFormat="1" applyFont="1" applyFill="1" applyBorder="1" applyAlignment="1">
      <alignment horizontal="left" vertical="center" wrapText="1"/>
    </xf>
    <xf numFmtId="4" fontId="9" fillId="0" borderId="61" xfId="0" applyNumberFormat="1" applyFont="1" applyFill="1" applyBorder="1" applyAlignment="1">
      <alignment horizontal="left" vertical="center" wrapText="1"/>
    </xf>
    <xf numFmtId="4" fontId="9" fillId="0" borderId="99" xfId="0" applyNumberFormat="1" applyFont="1" applyFill="1" applyBorder="1" applyAlignment="1">
      <alignment horizontal="left" vertical="center" wrapText="1"/>
    </xf>
    <xf numFmtId="4" fontId="9" fillId="0" borderId="65" xfId="0" applyNumberFormat="1" applyFont="1" applyFill="1" applyBorder="1" applyAlignment="1">
      <alignment horizontal="left" vertical="center" wrapText="1"/>
    </xf>
    <xf numFmtId="4" fontId="8" fillId="7" borderId="20" xfId="0" applyNumberFormat="1" applyFont="1" applyFill="1" applyBorder="1" applyAlignment="1">
      <alignment vertical="center"/>
    </xf>
    <xf numFmtId="4" fontId="8" fillId="7" borderId="21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4" fontId="8" fillId="7" borderId="2" xfId="0" applyNumberFormat="1" applyFont="1" applyFill="1" applyBorder="1" applyAlignment="1">
      <alignment horizontal="center" vertical="center"/>
    </xf>
    <xf numFmtId="4" fontId="8" fillId="7" borderId="4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8" fillId="7" borderId="11" xfId="0" applyNumberFormat="1" applyFont="1" applyFill="1" applyBorder="1" applyAlignment="1">
      <alignment horizontal="center" vertical="center"/>
    </xf>
    <xf numFmtId="4" fontId="8" fillId="7" borderId="108" xfId="0" applyNumberFormat="1" applyFont="1" applyFill="1" applyBorder="1" applyAlignment="1">
      <alignment horizontal="center" vertical="center" wrapText="1"/>
    </xf>
    <xf numFmtId="4" fontId="9" fillId="7" borderId="109" xfId="0" applyNumberFormat="1" applyFont="1" applyFill="1" applyBorder="1" applyAlignment="1">
      <alignment horizontal="center" vertical="center"/>
    </xf>
    <xf numFmtId="4" fontId="9" fillId="7" borderId="95" xfId="0" applyNumberFormat="1" applyFont="1" applyFill="1" applyBorder="1" applyAlignment="1">
      <alignment horizontal="center" vertical="center"/>
    </xf>
    <xf numFmtId="4" fontId="9" fillId="0" borderId="55" xfId="0" applyNumberFormat="1" applyFont="1" applyFill="1" applyBorder="1" applyAlignment="1">
      <alignment vertical="center" wrapText="1"/>
    </xf>
    <xf numFmtId="4" fontId="9" fillId="0" borderId="57" xfId="0" applyNumberFormat="1" applyFont="1" applyFill="1" applyBorder="1" applyAlignment="1">
      <alignment vertical="center" wrapText="1"/>
    </xf>
    <xf numFmtId="4" fontId="9" fillId="0" borderId="92" xfId="0" applyNumberFormat="1" applyFont="1" applyFill="1" applyBorder="1" applyAlignment="1">
      <alignment horizontal="left" vertical="center" wrapText="1" indent="1"/>
    </xf>
    <xf numFmtId="4" fontId="9" fillId="0" borderId="59" xfId="0" applyNumberFormat="1" applyFont="1" applyFill="1" applyBorder="1" applyAlignment="1">
      <alignment horizontal="left" vertical="center" wrapText="1" indent="1"/>
    </xf>
    <xf numFmtId="4" fontId="18" fillId="0" borderId="90" xfId="0" applyNumberFormat="1" applyFont="1" applyFill="1" applyBorder="1" applyAlignment="1" applyProtection="1">
      <alignment vertical="center" wrapText="1"/>
      <protection locked="0"/>
    </xf>
    <xf numFmtId="4" fontId="18" fillId="0" borderId="91" xfId="0" applyNumberFormat="1" applyFont="1" applyFill="1" applyBorder="1" applyAlignment="1" applyProtection="1">
      <alignment vertical="center" wrapText="1"/>
      <protection locked="0"/>
    </xf>
    <xf numFmtId="4" fontId="18" fillId="0" borderId="61" xfId="0" applyNumberFormat="1" applyFont="1" applyFill="1" applyBorder="1" applyAlignment="1" applyProtection="1">
      <alignment vertical="center" wrapText="1"/>
      <protection locked="0"/>
    </xf>
    <xf numFmtId="4" fontId="18" fillId="0" borderId="99" xfId="0" applyNumberFormat="1" applyFont="1" applyFill="1" applyBorder="1" applyAlignment="1" applyProtection="1">
      <alignment vertical="center"/>
      <protection locked="0"/>
    </xf>
    <xf numFmtId="4" fontId="18" fillId="0" borderId="102" xfId="0" applyNumberFormat="1" applyFont="1" applyFill="1" applyBorder="1" applyAlignment="1" applyProtection="1">
      <alignment vertical="center"/>
      <protection locked="0"/>
    </xf>
    <xf numFmtId="4" fontId="18" fillId="0" borderId="65" xfId="0" applyNumberFormat="1" applyFont="1" applyFill="1" applyBorder="1" applyAlignment="1" applyProtection="1">
      <alignment vertical="center"/>
      <protection locked="0"/>
    </xf>
    <xf numFmtId="4" fontId="8" fillId="7" borderId="20" xfId="0" applyNumberFormat="1" applyFont="1" applyFill="1" applyBorder="1" applyAlignment="1" applyProtection="1">
      <alignment horizontal="left" vertical="center"/>
      <protection locked="0"/>
    </xf>
    <xf numFmtId="4" fontId="8" fillId="7" borderId="29" xfId="0" applyNumberFormat="1" applyFont="1" applyFill="1" applyBorder="1" applyAlignment="1" applyProtection="1">
      <alignment horizontal="left" vertical="center"/>
      <protection locked="0"/>
    </xf>
    <xf numFmtId="4" fontId="8" fillId="7" borderId="21" xfId="0" applyNumberFormat="1" applyFont="1" applyFill="1" applyBorder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horizontal="center" vertical="center"/>
      <protection locked="0"/>
    </xf>
    <xf numFmtId="4" fontId="8" fillId="4" borderId="29" xfId="0" applyNumberFormat="1" applyFont="1" applyFill="1" applyBorder="1" applyAlignment="1" applyProtection="1">
      <alignment horizontal="center" vertical="center"/>
      <protection locked="0"/>
    </xf>
    <xf numFmtId="4" fontId="8" fillId="4" borderId="21" xfId="0" applyNumberFormat="1" applyFont="1" applyFill="1" applyBorder="1" applyAlignment="1" applyProtection="1">
      <alignment horizontal="center" vertical="center"/>
      <protection locked="0"/>
    </xf>
    <xf numFmtId="4" fontId="17" fillId="0" borderId="20" xfId="0" applyNumberFormat="1" applyFont="1" applyFill="1" applyBorder="1" applyAlignment="1" applyProtection="1">
      <alignment vertical="center" wrapText="1"/>
      <protection locked="0"/>
    </xf>
    <xf numFmtId="4" fontId="17" fillId="0" borderId="29" xfId="0" applyNumberFormat="1" applyFont="1" applyFill="1" applyBorder="1" applyAlignment="1" applyProtection="1">
      <alignment vertical="center" wrapText="1"/>
      <protection locked="0"/>
    </xf>
    <xf numFmtId="4" fontId="17" fillId="0" borderId="21" xfId="0" applyNumberFormat="1" applyFont="1" applyFill="1" applyBorder="1" applyAlignment="1" applyProtection="1">
      <alignment vertical="center" wrapText="1"/>
      <protection locked="0"/>
    </xf>
    <xf numFmtId="4" fontId="18" fillId="0" borderId="55" xfId="0" applyNumberFormat="1" applyFont="1" applyFill="1" applyBorder="1" applyAlignment="1" applyProtection="1">
      <alignment vertical="center"/>
      <protection locked="0"/>
    </xf>
    <xf numFmtId="4" fontId="18" fillId="0" borderId="56" xfId="0" applyNumberFormat="1" applyFont="1" applyFill="1" applyBorder="1" applyAlignment="1" applyProtection="1">
      <alignment vertical="center"/>
      <protection locked="0"/>
    </xf>
    <xf numFmtId="4" fontId="18" fillId="0" borderId="57" xfId="0" applyNumberFormat="1" applyFont="1" applyFill="1" applyBorder="1" applyAlignment="1" applyProtection="1">
      <alignment vertical="center"/>
      <protection locked="0"/>
    </xf>
    <xf numFmtId="4" fontId="18" fillId="0" borderId="6" xfId="0" applyNumberFormat="1" applyFont="1" applyFill="1" applyBorder="1" applyAlignment="1" applyProtection="1">
      <alignment vertical="center"/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4" fontId="18" fillId="0" borderId="7" xfId="0" applyNumberFormat="1" applyFont="1" applyFill="1" applyBorder="1" applyAlignment="1" applyProtection="1">
      <alignment vertical="center"/>
      <protection locked="0"/>
    </xf>
    <xf numFmtId="4" fontId="18" fillId="0" borderId="90" xfId="0" applyNumberFormat="1" applyFont="1" applyFill="1" applyBorder="1" applyAlignment="1" applyProtection="1">
      <alignment vertical="center"/>
      <protection locked="0"/>
    </xf>
    <xf numFmtId="4" fontId="18" fillId="0" borderId="91" xfId="0" applyNumberFormat="1" applyFont="1" applyFill="1" applyBorder="1" applyAlignment="1" applyProtection="1">
      <alignment vertical="center"/>
      <protection locked="0"/>
    </xf>
    <xf numFmtId="4" fontId="18" fillId="0" borderId="61" xfId="0" applyNumberFormat="1" applyFont="1" applyFill="1" applyBorder="1" applyAlignment="1" applyProtection="1">
      <alignment vertical="center"/>
      <protection locked="0"/>
    </xf>
    <xf numFmtId="4" fontId="25" fillId="0" borderId="99" xfId="0" applyNumberFormat="1" applyFont="1" applyFill="1" applyBorder="1" applyAlignment="1" applyProtection="1">
      <alignment vertical="center"/>
      <protection locked="0"/>
    </xf>
    <xf numFmtId="4" fontId="25" fillId="0" borderId="102" xfId="0" applyNumberFormat="1" applyFont="1" applyFill="1" applyBorder="1" applyAlignment="1" applyProtection="1">
      <alignment vertical="center"/>
      <protection locked="0"/>
    </xf>
    <xf numFmtId="4" fontId="25" fillId="0" borderId="65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8" fillId="0" borderId="55" xfId="0" applyNumberFormat="1" applyFont="1" applyFill="1" applyBorder="1" applyAlignment="1" applyProtection="1">
      <alignment vertical="center" wrapText="1"/>
      <protection locked="0"/>
    </xf>
    <xf numFmtId="4" fontId="18" fillId="0" borderId="56" xfId="0" applyNumberFormat="1" applyFont="1" applyFill="1" applyBorder="1" applyAlignment="1" applyProtection="1">
      <alignment vertical="center" wrapText="1"/>
      <protection locked="0"/>
    </xf>
    <xf numFmtId="4" fontId="18" fillId="0" borderId="57" xfId="0" applyNumberFormat="1" applyFont="1" applyFill="1" applyBorder="1" applyAlignment="1" applyProtection="1">
      <alignment vertical="center" wrapText="1"/>
      <protection locked="0"/>
    </xf>
    <xf numFmtId="4" fontId="18" fillId="0" borderId="6" xfId="0" applyNumberFormat="1" applyFont="1" applyFill="1" applyBorder="1" applyAlignment="1" applyProtection="1">
      <alignment vertical="center" wrapText="1"/>
      <protection locked="0"/>
    </xf>
    <xf numFmtId="4" fontId="18" fillId="0" borderId="0" xfId="0" applyNumberFormat="1" applyFont="1" applyFill="1" applyBorder="1" applyAlignment="1" applyProtection="1">
      <alignment vertical="center" wrapText="1"/>
      <protection locked="0"/>
    </xf>
    <xf numFmtId="4" fontId="18" fillId="0" borderId="7" xfId="0" applyNumberFormat="1" applyFont="1" applyFill="1" applyBorder="1" applyAlignment="1" applyProtection="1">
      <alignment vertical="center" wrapText="1"/>
      <protection locked="0"/>
    </xf>
    <xf numFmtId="4" fontId="17" fillId="0" borderId="20" xfId="0" applyNumberFormat="1" applyFont="1" applyFill="1" applyBorder="1" applyAlignment="1" applyProtection="1">
      <alignment vertical="center"/>
      <protection locked="0"/>
    </xf>
    <xf numFmtId="4" fontId="17" fillId="0" borderId="29" xfId="0" applyNumberFormat="1" applyFont="1" applyFill="1" applyBorder="1" applyAlignment="1" applyProtection="1">
      <alignment vertical="center"/>
      <protection locked="0"/>
    </xf>
    <xf numFmtId="4" fontId="17" fillId="0" borderId="21" xfId="0" applyNumberFormat="1" applyFont="1" applyFill="1" applyBorder="1" applyAlignment="1" applyProtection="1">
      <alignment vertical="center"/>
      <protection locked="0"/>
    </xf>
    <xf numFmtId="4" fontId="18" fillId="0" borderId="92" xfId="0" applyNumberFormat="1" applyFont="1" applyFill="1" applyBorder="1" applyAlignment="1" applyProtection="1">
      <alignment vertical="center"/>
      <protection locked="0"/>
    </xf>
    <xf numFmtId="4" fontId="18" fillId="0" borderId="93" xfId="0" applyNumberFormat="1" applyFont="1" applyFill="1" applyBorder="1" applyAlignment="1" applyProtection="1">
      <alignment vertical="center"/>
      <protection locked="0"/>
    </xf>
    <xf numFmtId="4" fontId="18" fillId="0" borderId="59" xfId="0" applyNumberFormat="1" applyFont="1" applyFill="1" applyBorder="1" applyAlignment="1" applyProtection="1">
      <alignment vertical="center"/>
      <protection locked="0"/>
    </xf>
    <xf numFmtId="4" fontId="25" fillId="0" borderId="90" xfId="0" applyNumberFormat="1" applyFont="1" applyFill="1" applyBorder="1" applyAlignment="1">
      <alignment vertical="center" wrapText="1"/>
    </xf>
    <xf numFmtId="4" fontId="25" fillId="0" borderId="91" xfId="0" applyNumberFormat="1" applyFont="1" applyFill="1" applyBorder="1" applyAlignment="1">
      <alignment vertical="center" wrapText="1"/>
    </xf>
    <xf numFmtId="4" fontId="25" fillId="0" borderId="61" xfId="0" applyNumberFormat="1" applyFont="1" applyFill="1" applyBorder="1" applyAlignment="1">
      <alignment vertical="center" wrapText="1"/>
    </xf>
    <xf numFmtId="4" fontId="25" fillId="0" borderId="99" xfId="0" applyNumberFormat="1" applyFont="1" applyFill="1" applyBorder="1" applyAlignment="1" applyProtection="1">
      <alignment vertical="center" wrapText="1"/>
      <protection locked="0"/>
    </xf>
    <xf numFmtId="4" fontId="25" fillId="0" borderId="102" xfId="0" applyNumberFormat="1" applyFont="1" applyFill="1" applyBorder="1" applyAlignment="1" applyProtection="1">
      <alignment vertical="center" wrapText="1"/>
      <protection locked="0"/>
    </xf>
    <xf numFmtId="4" fontId="25" fillId="0" borderId="65" xfId="0" applyNumberFormat="1" applyFont="1" applyFill="1" applyBorder="1" applyAlignment="1" applyProtection="1">
      <alignment vertical="center" wrapText="1"/>
      <protection locked="0"/>
    </xf>
    <xf numFmtId="4" fontId="8" fillId="4" borderId="20" xfId="0" applyNumberFormat="1" applyFont="1" applyFill="1" applyBorder="1" applyAlignment="1" applyProtection="1">
      <alignment horizontal="left" vertical="center"/>
      <protection locked="0"/>
    </xf>
    <xf numFmtId="4" fontId="8" fillId="4" borderId="29" xfId="0" applyNumberFormat="1" applyFont="1" applyFill="1" applyBorder="1" applyAlignment="1" applyProtection="1">
      <alignment horizontal="left" vertical="center"/>
      <protection locked="0"/>
    </xf>
    <xf numFmtId="4" fontId="8" fillId="4" borderId="21" xfId="0" applyNumberFormat="1" applyFont="1" applyFill="1" applyBorder="1" applyAlignment="1" applyProtection="1">
      <alignment horizontal="left" vertical="center"/>
      <protection locked="0"/>
    </xf>
    <xf numFmtId="4" fontId="17" fillId="4" borderId="20" xfId="0" applyNumberFormat="1" applyFont="1" applyFill="1" applyBorder="1" applyAlignment="1" applyProtection="1">
      <alignment horizontal="center" vertical="center"/>
      <protection locked="0"/>
    </xf>
    <xf numFmtId="4" fontId="17" fillId="4" borderId="29" xfId="0" applyNumberFormat="1" applyFont="1" applyFill="1" applyBorder="1" applyAlignment="1" applyProtection="1">
      <alignment horizontal="center" vertical="center"/>
      <protection locked="0"/>
    </xf>
    <xf numFmtId="4" fontId="17" fillId="4" borderId="21" xfId="0" applyNumberFormat="1" applyFont="1" applyFill="1" applyBorder="1" applyAlignment="1" applyProtection="1">
      <alignment horizontal="center" vertical="center"/>
      <protection locked="0"/>
    </xf>
    <xf numFmtId="4" fontId="17" fillId="0" borderId="9" xfId="0" applyNumberFormat="1" applyFont="1" applyFill="1" applyBorder="1" applyAlignment="1" applyProtection="1">
      <alignment vertical="center" wrapText="1"/>
      <protection locked="0"/>
    </xf>
    <xf numFmtId="4" fontId="17" fillId="0" borderId="10" xfId="0" applyNumberFormat="1" applyFont="1" applyFill="1" applyBorder="1" applyAlignment="1" applyProtection="1">
      <alignment vertical="center" wrapText="1"/>
      <protection locked="0"/>
    </xf>
    <xf numFmtId="4" fontId="17" fillId="0" borderId="11" xfId="0" applyNumberFormat="1" applyFont="1" applyFill="1" applyBorder="1" applyAlignment="1" applyProtection="1">
      <alignment vertical="center" wrapText="1"/>
      <protection locked="0"/>
    </xf>
    <xf numFmtId="4" fontId="25" fillId="0" borderId="90" xfId="0" applyNumberFormat="1" applyFont="1" applyFill="1" applyBorder="1" applyAlignment="1" applyProtection="1">
      <alignment vertical="center" wrapText="1"/>
      <protection locked="0"/>
    </xf>
    <xf numFmtId="4" fontId="25" fillId="0" borderId="91" xfId="0" applyNumberFormat="1" applyFont="1" applyFill="1" applyBorder="1" applyAlignment="1" applyProtection="1">
      <alignment vertical="center" wrapText="1"/>
      <protection locked="0"/>
    </xf>
    <xf numFmtId="4" fontId="25" fillId="0" borderId="61" xfId="0" applyNumberFormat="1" applyFont="1" applyFill="1" applyBorder="1" applyAlignment="1" applyProtection="1">
      <alignment vertical="center" wrapText="1"/>
      <protection locked="0"/>
    </xf>
    <xf numFmtId="4" fontId="8" fillId="0" borderId="90" xfId="0" applyNumberFormat="1" applyFont="1" applyFill="1" applyBorder="1" applyAlignment="1" applyProtection="1">
      <alignment vertical="center"/>
      <protection locked="0"/>
    </xf>
    <xf numFmtId="4" fontId="8" fillId="0" borderId="91" xfId="0" applyNumberFormat="1" applyFont="1" applyFill="1" applyBorder="1" applyAlignment="1" applyProtection="1">
      <alignment vertical="center"/>
      <protection locked="0"/>
    </xf>
    <xf numFmtId="4" fontId="8" fillId="0" borderId="6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wrapText="1"/>
    </xf>
    <xf numFmtId="4" fontId="17" fillId="0" borderId="20" xfId="0" applyNumberFormat="1" applyFont="1" applyBorder="1" applyAlignment="1" applyProtection="1">
      <alignment horizontal="left" vertical="center" wrapText="1"/>
      <protection locked="0"/>
    </xf>
    <xf numFmtId="4" fontId="17" fillId="0" borderId="29" xfId="0" applyNumberFormat="1" applyFont="1" applyBorder="1" applyAlignment="1" applyProtection="1">
      <alignment horizontal="left" vertical="center" wrapText="1"/>
      <protection locked="0"/>
    </xf>
    <xf numFmtId="4" fontId="17" fillId="0" borderId="21" xfId="0" applyNumberFormat="1" applyFont="1" applyBorder="1" applyAlignment="1" applyProtection="1">
      <alignment horizontal="left" vertical="center" wrapText="1"/>
      <protection locked="0"/>
    </xf>
    <xf numFmtId="4" fontId="17" fillId="0" borderId="55" xfId="0" applyNumberFormat="1" applyFont="1" applyFill="1" applyBorder="1" applyAlignment="1" applyProtection="1">
      <alignment vertical="center" wrapText="1"/>
      <protection locked="0"/>
    </xf>
    <xf numFmtId="4" fontId="17" fillId="0" borderId="56" xfId="0" applyNumberFormat="1" applyFont="1" applyFill="1" applyBorder="1" applyAlignment="1" applyProtection="1">
      <alignment vertical="center" wrapText="1"/>
      <protection locked="0"/>
    </xf>
    <xf numFmtId="4" fontId="17" fillId="0" borderId="57" xfId="0" applyNumberFormat="1" applyFont="1" applyFill="1" applyBorder="1" applyAlignment="1" applyProtection="1">
      <alignment vertical="center" wrapText="1"/>
      <protection locked="0"/>
    </xf>
    <xf numFmtId="4" fontId="8" fillId="0" borderId="92" xfId="0" applyNumberFormat="1" applyFont="1" applyFill="1" applyBorder="1" applyAlignment="1" applyProtection="1">
      <alignment vertical="center" wrapText="1"/>
      <protection locked="0"/>
    </xf>
    <xf numFmtId="4" fontId="8" fillId="0" borderId="93" xfId="0" applyNumberFormat="1" applyFont="1" applyFill="1" applyBorder="1" applyAlignment="1" applyProtection="1">
      <alignment vertical="center" wrapText="1"/>
      <protection locked="0"/>
    </xf>
    <xf numFmtId="4" fontId="8" fillId="0" borderId="59" xfId="0" applyNumberFormat="1" applyFont="1" applyFill="1" applyBorder="1" applyAlignment="1" applyProtection="1">
      <alignment vertical="center" wrapText="1"/>
      <protection locked="0"/>
    </xf>
    <xf numFmtId="4" fontId="18" fillId="0" borderId="99" xfId="0" applyNumberFormat="1" applyFont="1" applyFill="1" applyBorder="1" applyAlignment="1" applyProtection="1">
      <alignment vertical="center" wrapText="1"/>
      <protection locked="0"/>
    </xf>
    <xf numFmtId="4" fontId="18" fillId="0" borderId="102" xfId="0" applyNumberFormat="1" applyFont="1" applyFill="1" applyBorder="1" applyAlignment="1" applyProtection="1">
      <alignment vertical="center" wrapText="1"/>
      <protection locked="0"/>
    </xf>
    <xf numFmtId="4" fontId="18" fillId="0" borderId="65" xfId="0" applyNumberFormat="1" applyFont="1" applyFill="1" applyBorder="1" applyAlignment="1" applyProtection="1">
      <alignment vertical="center" wrapText="1"/>
      <protection locked="0"/>
    </xf>
    <xf numFmtId="4" fontId="17" fillId="4" borderId="20" xfId="0" applyNumberFormat="1" applyFont="1" applyFill="1" applyBorder="1" applyAlignment="1" applyProtection="1">
      <alignment horizontal="left" vertical="center"/>
      <protection locked="0"/>
    </xf>
    <xf numFmtId="4" fontId="17" fillId="4" borderId="29" xfId="0" applyNumberFormat="1" applyFont="1" applyFill="1" applyBorder="1" applyAlignment="1" applyProtection="1">
      <alignment horizontal="left" vertical="center"/>
      <protection locked="0"/>
    </xf>
    <xf numFmtId="4" fontId="17" fillId="4" borderId="21" xfId="0" applyNumberFormat="1" applyFont="1" applyFill="1" applyBorder="1" applyAlignment="1" applyProtection="1">
      <alignment horizontal="left" vertical="center"/>
      <protection locked="0"/>
    </xf>
    <xf numFmtId="4" fontId="17" fillId="0" borderId="9" xfId="0" applyNumberFormat="1" applyFont="1" applyFill="1" applyBorder="1" applyAlignment="1" applyProtection="1">
      <alignment vertical="center"/>
      <protection locked="0"/>
    </xf>
    <xf numFmtId="4" fontId="17" fillId="0" borderId="10" xfId="0" applyNumberFormat="1" applyFont="1" applyFill="1" applyBorder="1" applyAlignment="1" applyProtection="1">
      <alignment vertical="center"/>
      <protection locked="0"/>
    </xf>
    <xf numFmtId="4" fontId="17" fillId="0" borderId="11" xfId="0" applyNumberFormat="1" applyFont="1" applyFill="1" applyBorder="1" applyAlignment="1" applyProtection="1">
      <alignment vertical="center"/>
      <protection locked="0"/>
    </xf>
    <xf numFmtId="0" fontId="17" fillId="4" borderId="20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4" fontId="9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9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90" xfId="0" applyNumberFormat="1" applyFont="1" applyBorder="1" applyAlignment="1" applyProtection="1">
      <alignment horizontal="left" vertical="center" wrapText="1"/>
      <protection locked="0"/>
    </xf>
    <xf numFmtId="4" fontId="9" fillId="0" borderId="61" xfId="0" applyNumberFormat="1" applyFont="1" applyBorder="1" applyAlignment="1" applyProtection="1">
      <alignment horizontal="left" vertical="center" wrapText="1"/>
      <protection locked="0"/>
    </xf>
    <xf numFmtId="4" fontId="9" fillId="0" borderId="99" xfId="0" applyNumberFormat="1" applyFont="1" applyFill="1" applyBorder="1" applyAlignment="1" applyProtection="1">
      <alignment horizontal="left" vertical="center"/>
      <protection locked="0"/>
    </xf>
    <xf numFmtId="4" fontId="9" fillId="0" borderId="65" xfId="0" applyNumberFormat="1" applyFont="1" applyFill="1" applyBorder="1" applyAlignment="1" applyProtection="1">
      <alignment horizontal="left" vertical="center"/>
      <protection locked="0"/>
    </xf>
    <xf numFmtId="4" fontId="9" fillId="0" borderId="55" xfId="0" applyNumberFormat="1" applyFont="1" applyBorder="1" applyAlignment="1" applyProtection="1">
      <alignment horizontal="left" vertical="center"/>
      <protection locked="0"/>
    </xf>
    <xf numFmtId="4" fontId="9" fillId="0" borderId="57" xfId="0" applyNumberFormat="1" applyFont="1" applyBorder="1" applyAlignment="1" applyProtection="1">
      <alignment horizontal="left" vertical="center"/>
      <protection locked="0"/>
    </xf>
    <xf numFmtId="4" fontId="9" fillId="0" borderId="90" xfId="0" applyNumberFormat="1" applyFont="1" applyBorder="1" applyAlignment="1" applyProtection="1">
      <alignment horizontal="left" vertical="center"/>
      <protection locked="0"/>
    </xf>
    <xf numFmtId="4" fontId="9" fillId="0" borderId="61" xfId="0" applyNumberFormat="1" applyFont="1" applyBorder="1" applyAlignment="1" applyProtection="1">
      <alignment horizontal="left" vertical="center"/>
      <protection locked="0"/>
    </xf>
    <xf numFmtId="4" fontId="9" fillId="0" borderId="90" xfId="0" applyNumberFormat="1" applyFont="1" applyFill="1" applyBorder="1" applyAlignment="1" applyProtection="1">
      <alignment horizontal="left" vertical="center"/>
      <protection locked="0"/>
    </xf>
    <xf numFmtId="4" fontId="9" fillId="0" borderId="61" xfId="0" applyNumberFormat="1" applyFont="1" applyFill="1" applyBorder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" fontId="8" fillId="4" borderId="29" xfId="0" applyNumberFormat="1" applyFont="1" applyFill="1" applyBorder="1" applyAlignment="1" applyProtection="1">
      <alignment vertical="center"/>
      <protection locked="0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Alignment="1">
      <alignment horizontal="left" vertical="center" wrapText="1"/>
    </xf>
    <xf numFmtId="4" fontId="8" fillId="4" borderId="2" xfId="0" applyNumberFormat="1" applyFont="1" applyFill="1" applyBorder="1" applyAlignment="1" applyProtection="1">
      <alignment horizontal="center" vertical="center"/>
      <protection locked="0"/>
    </xf>
    <xf numFmtId="4" fontId="8" fillId="4" borderId="4" xfId="0" applyNumberFormat="1" applyFont="1" applyFill="1" applyBorder="1" applyAlignment="1" applyProtection="1">
      <alignment horizontal="center" vertical="center"/>
      <protection locked="0"/>
    </xf>
    <xf numFmtId="4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4" fontId="25" fillId="0" borderId="90" xfId="0" applyNumberFormat="1" applyFont="1" applyFill="1" applyBorder="1" applyAlignment="1" applyProtection="1">
      <alignment horizontal="left" vertical="center" indent="1"/>
      <protection locked="0"/>
    </xf>
    <xf numFmtId="4" fontId="25" fillId="0" borderId="91" xfId="0" applyNumberFormat="1" applyFont="1" applyFill="1" applyBorder="1" applyAlignment="1" applyProtection="1">
      <alignment horizontal="left" vertical="center" indent="1"/>
      <protection locked="0"/>
    </xf>
    <xf numFmtId="4" fontId="25" fillId="0" borderId="61" xfId="0" applyNumberFormat="1" applyFont="1" applyFill="1" applyBorder="1" applyAlignment="1" applyProtection="1">
      <alignment horizontal="left" vertical="center" indent="1"/>
      <protection locked="0"/>
    </xf>
    <xf numFmtId="4" fontId="25" fillId="0" borderId="90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91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61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59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99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102" xfId="0" applyNumberFormat="1" applyFont="1" applyFill="1" applyBorder="1" applyAlignment="1" applyProtection="1">
      <alignment horizontal="left" vertical="center" wrapText="1" indent="1"/>
      <protection locked="0"/>
    </xf>
    <xf numFmtId="4" fontId="25" fillId="0" borderId="65" xfId="0" applyNumberFormat="1" applyFont="1" applyFill="1" applyBorder="1" applyAlignment="1" applyProtection="1">
      <alignment horizontal="left" vertical="center" wrapText="1" indent="1"/>
      <protection locked="0"/>
    </xf>
    <xf numFmtId="4" fontId="9" fillId="0" borderId="90" xfId="0" applyNumberFormat="1" applyFont="1" applyFill="1" applyBorder="1" applyAlignment="1" applyProtection="1">
      <alignment vertical="center"/>
      <protection locked="0"/>
    </xf>
    <xf numFmtId="4" fontId="9" fillId="0" borderId="91" xfId="0" applyNumberFormat="1" applyFont="1" applyFill="1" applyBorder="1" applyAlignment="1" applyProtection="1">
      <alignment vertical="center"/>
      <protection locked="0"/>
    </xf>
    <xf numFmtId="4" fontId="9" fillId="0" borderId="61" xfId="0" applyNumberFormat="1" applyFont="1" applyFill="1" applyBorder="1" applyAlignment="1" applyProtection="1">
      <alignment vertical="center"/>
      <protection locked="0"/>
    </xf>
    <xf numFmtId="4" fontId="9" fillId="0" borderId="90" xfId="0" applyNumberFormat="1" applyFont="1" applyFill="1" applyBorder="1" applyAlignment="1" applyProtection="1">
      <alignment vertical="center" wrapText="1"/>
      <protection locked="0"/>
    </xf>
    <xf numFmtId="4" fontId="9" fillId="0" borderId="91" xfId="0" applyNumberFormat="1" applyFont="1" applyFill="1" applyBorder="1" applyAlignment="1" applyProtection="1">
      <alignment vertical="center" wrapText="1"/>
      <protection locked="0"/>
    </xf>
    <xf numFmtId="4" fontId="9" fillId="0" borderId="61" xfId="0" applyNumberFormat="1" applyFont="1" applyFill="1" applyBorder="1" applyAlignment="1" applyProtection="1">
      <alignment vertical="center" wrapText="1"/>
      <protection locked="0"/>
    </xf>
    <xf numFmtId="4" fontId="17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9" fillId="0" borderId="55" xfId="0" applyNumberFormat="1" applyFont="1" applyFill="1" applyBorder="1" applyAlignment="1" applyProtection="1">
      <alignment vertical="center"/>
      <protection locked="0"/>
    </xf>
    <xf numFmtId="4" fontId="9" fillId="0" borderId="56" xfId="0" applyNumberFormat="1" applyFont="1" applyFill="1" applyBorder="1" applyAlignment="1" applyProtection="1">
      <alignment vertical="center"/>
      <protection locked="0"/>
    </xf>
    <xf numFmtId="4" fontId="9" fillId="0" borderId="57" xfId="0" applyNumberFormat="1" applyFont="1" applyFill="1" applyBorder="1" applyAlignment="1" applyProtection="1">
      <alignment vertical="center"/>
      <protection locked="0"/>
    </xf>
    <xf numFmtId="4" fontId="6" fillId="0" borderId="90" xfId="0" applyNumberFormat="1" applyFont="1" applyFill="1" applyBorder="1" applyAlignment="1" applyProtection="1">
      <alignment vertical="center"/>
      <protection locked="0"/>
    </xf>
    <xf numFmtId="4" fontId="6" fillId="0" borderId="91" xfId="0" applyNumberFormat="1" applyFont="1" applyFill="1" applyBorder="1" applyAlignment="1" applyProtection="1">
      <alignment vertical="center"/>
      <protection locked="0"/>
    </xf>
    <xf numFmtId="4" fontId="6" fillId="0" borderId="61" xfId="0" applyNumberFormat="1" applyFont="1" applyFill="1" applyBorder="1" applyAlignment="1" applyProtection="1">
      <alignment vertical="center"/>
      <protection locked="0"/>
    </xf>
    <xf numFmtId="4" fontId="9" fillId="0" borderId="99" xfId="0" applyNumberFormat="1" applyFont="1" applyFill="1" applyBorder="1" applyAlignment="1" applyProtection="1">
      <alignment vertical="center" wrapText="1"/>
      <protection locked="0"/>
    </xf>
    <xf numFmtId="4" fontId="9" fillId="0" borderId="102" xfId="0" applyNumberFormat="1" applyFont="1" applyFill="1" applyBorder="1" applyAlignment="1" applyProtection="1">
      <alignment vertical="center" wrapText="1"/>
      <protection locked="0"/>
    </xf>
    <xf numFmtId="4" fontId="9" fillId="0" borderId="65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4" fontId="6" fillId="0" borderId="55" xfId="0" applyNumberFormat="1" applyFont="1" applyFill="1" applyBorder="1" applyAlignment="1" applyProtection="1">
      <alignment vertical="center"/>
      <protection locked="0"/>
    </xf>
    <xf numFmtId="4" fontId="6" fillId="0" borderId="56" xfId="0" applyNumberFormat="1" applyFont="1" applyFill="1" applyBorder="1" applyAlignment="1" applyProtection="1">
      <alignment vertical="center"/>
      <protection locked="0"/>
    </xf>
    <xf numFmtId="4" fontId="6" fillId="0" borderId="57" xfId="0" applyNumberFormat="1" applyFont="1" applyFill="1" applyBorder="1" applyAlignment="1" applyProtection="1">
      <alignment vertical="center"/>
      <protection locked="0"/>
    </xf>
    <xf numFmtId="49" fontId="6" fillId="0" borderId="90" xfId="0" applyNumberFormat="1" applyFont="1" applyFill="1" applyBorder="1" applyAlignment="1" applyProtection="1">
      <alignment vertical="center" wrapText="1"/>
      <protection locked="0"/>
    </xf>
    <xf numFmtId="49" fontId="6" fillId="0" borderId="91" xfId="0" applyNumberFormat="1" applyFont="1" applyFill="1" applyBorder="1" applyAlignment="1" applyProtection="1">
      <alignment vertical="center" wrapText="1"/>
      <protection locked="0"/>
    </xf>
    <xf numFmtId="49" fontId="6" fillId="0" borderId="61" xfId="0" applyNumberFormat="1" applyFont="1" applyFill="1" applyBorder="1" applyAlignment="1" applyProtection="1">
      <alignment vertical="center" wrapText="1"/>
      <protection locked="0"/>
    </xf>
    <xf numFmtId="49" fontId="18" fillId="0" borderId="90" xfId="0" applyNumberFormat="1" applyFont="1" applyFill="1" applyBorder="1" applyAlignment="1" applyProtection="1">
      <alignment vertical="center" wrapText="1"/>
      <protection locked="0"/>
    </xf>
    <xf numFmtId="49" fontId="18" fillId="0" borderId="91" xfId="0" applyNumberFormat="1" applyFont="1" applyFill="1" applyBorder="1" applyAlignment="1" applyProtection="1">
      <alignment vertical="center" wrapText="1"/>
      <protection locked="0"/>
    </xf>
    <xf numFmtId="49" fontId="18" fillId="0" borderId="61" xfId="0" applyNumberFormat="1" applyFont="1" applyFill="1" applyBorder="1" applyAlignment="1" applyProtection="1">
      <alignment vertical="center" wrapText="1"/>
      <protection locked="0"/>
    </xf>
    <xf numFmtId="49" fontId="6" fillId="0" borderId="55" xfId="0" applyNumberFormat="1" applyFont="1" applyFill="1" applyBorder="1" applyAlignment="1" applyProtection="1">
      <alignment vertical="center" wrapText="1"/>
      <protection locked="0"/>
    </xf>
    <xf numFmtId="49" fontId="6" fillId="0" borderId="56" xfId="0" applyNumberFormat="1" applyFont="1" applyFill="1" applyBorder="1" applyAlignment="1" applyProtection="1">
      <alignment vertical="center" wrapText="1"/>
      <protection locked="0"/>
    </xf>
    <xf numFmtId="49" fontId="6" fillId="0" borderId="57" xfId="0" applyNumberFormat="1" applyFont="1" applyFill="1" applyBorder="1" applyAlignment="1" applyProtection="1">
      <alignment vertical="center" wrapText="1"/>
      <protection locked="0"/>
    </xf>
    <xf numFmtId="49" fontId="18" fillId="0" borderId="100" xfId="0" applyNumberFormat="1" applyFont="1" applyFill="1" applyBorder="1" applyAlignment="1" applyProtection="1">
      <alignment vertical="center" wrapText="1"/>
      <protection locked="0"/>
    </xf>
    <xf numFmtId="49" fontId="18" fillId="0" borderId="104" xfId="0" applyNumberFormat="1" applyFont="1" applyFill="1" applyBorder="1" applyAlignment="1" applyProtection="1">
      <alignment vertical="center" wrapText="1"/>
      <protection locked="0"/>
    </xf>
    <xf numFmtId="49" fontId="18" fillId="0" borderId="101" xfId="0" applyNumberFormat="1" applyFont="1" applyFill="1" applyBorder="1" applyAlignment="1" applyProtection="1">
      <alignment vertical="center" wrapText="1"/>
      <protection locked="0"/>
    </xf>
    <xf numFmtId="49" fontId="18" fillId="0" borderId="9" xfId="0" applyNumberFormat="1" applyFont="1" applyFill="1" applyBorder="1" applyAlignment="1" applyProtection="1">
      <alignment vertical="center" wrapText="1"/>
      <protection locked="0"/>
    </xf>
    <xf numFmtId="49" fontId="18" fillId="0" borderId="10" xfId="0" applyNumberFormat="1" applyFont="1" applyFill="1" applyBorder="1" applyAlignment="1" applyProtection="1">
      <alignment vertical="center" wrapText="1"/>
      <protection locked="0"/>
    </xf>
    <xf numFmtId="49" fontId="18" fillId="0" borderId="11" xfId="0" applyNumberFormat="1" applyFont="1" applyFill="1" applyBorder="1" applyAlignment="1" applyProtection="1">
      <alignment vertical="center" wrapText="1"/>
      <protection locked="0"/>
    </xf>
    <xf numFmtId="4" fontId="17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8" fillId="0" borderId="99" xfId="0" applyNumberFormat="1" applyFont="1" applyBorder="1" applyAlignment="1" applyProtection="1">
      <alignment horizontal="left" vertical="center" wrapText="1"/>
      <protection locked="0"/>
    </xf>
    <xf numFmtId="4" fontId="8" fillId="0" borderId="65" xfId="0" applyNumberFormat="1" applyFont="1" applyBorder="1" applyAlignment="1" applyProtection="1">
      <alignment horizontal="left" vertical="center" wrapText="1"/>
      <protection locked="0"/>
    </xf>
    <xf numFmtId="4" fontId="8" fillId="7" borderId="20" xfId="0" applyNumberFormat="1" applyFont="1" applyFill="1" applyBorder="1" applyAlignment="1" applyProtection="1">
      <alignment horizontal="justify" vertical="center" wrapText="1"/>
      <protection locked="0"/>
    </xf>
    <xf numFmtId="4" fontId="8" fillId="7" borderId="21" xfId="0" applyNumberFormat="1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Fill="1" applyBorder="1" applyAlignment="1"/>
    <xf numFmtId="4" fontId="1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4" fontId="25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4" fontId="17" fillId="7" borderId="2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5" xfId="0" applyNumberFormat="1" applyFont="1" applyBorder="1" applyAlignment="1" applyProtection="1">
      <alignment horizontal="left" vertical="center" wrapText="1"/>
      <protection locked="0"/>
    </xf>
    <xf numFmtId="4" fontId="8" fillId="0" borderId="57" xfId="0" applyNumberFormat="1" applyFont="1" applyBorder="1" applyAlignment="1" applyProtection="1">
      <alignment horizontal="left" vertical="center" wrapText="1"/>
      <protection locked="0"/>
    </xf>
    <xf numFmtId="4" fontId="8" fillId="0" borderId="90" xfId="0" applyNumberFormat="1" applyFont="1" applyBorder="1" applyAlignment="1" applyProtection="1">
      <alignment horizontal="left" vertical="center" wrapText="1"/>
      <protection locked="0"/>
    </xf>
    <xf numFmtId="4" fontId="8" fillId="0" borderId="61" xfId="0" applyNumberFormat="1" applyFont="1" applyBorder="1" applyAlignment="1" applyProtection="1">
      <alignment horizontal="left" vertical="center" wrapText="1"/>
      <protection locked="0"/>
    </xf>
    <xf numFmtId="4" fontId="8" fillId="0" borderId="9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6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4" fontId="17" fillId="0" borderId="0" xfId="0" applyNumberFormat="1" applyFont="1" applyFill="1" applyAlignment="1" applyProtection="1">
      <alignment horizontal="left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17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20" xfId="0" applyNumberFormat="1" applyFont="1" applyFill="1" applyBorder="1" applyAlignment="1" applyProtection="1">
      <alignment vertical="center"/>
      <protection locked="0"/>
    </xf>
    <xf numFmtId="4" fontId="17" fillId="7" borderId="21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" fontId="17" fillId="7" borderId="20" xfId="0" applyNumberFormat="1" applyFont="1" applyFill="1" applyBorder="1" applyAlignment="1">
      <alignment horizontal="left" vertical="center"/>
    </xf>
    <xf numFmtId="4" fontId="17" fillId="7" borderId="21" xfId="0" applyNumberFormat="1" applyFont="1" applyFill="1" applyBorder="1" applyAlignment="1">
      <alignment horizontal="left" vertical="center"/>
    </xf>
    <xf numFmtId="4" fontId="9" fillId="0" borderId="90" xfId="0" applyNumberFormat="1" applyFont="1" applyBorder="1" applyAlignment="1" applyProtection="1">
      <alignment horizontal="justify" vertical="center"/>
      <protection locked="0"/>
    </xf>
    <xf numFmtId="4" fontId="9" fillId="0" borderId="61" xfId="0" applyNumberFormat="1" applyFont="1" applyBorder="1" applyAlignment="1" applyProtection="1">
      <alignment horizontal="justify" vertical="center"/>
      <protection locked="0"/>
    </xf>
    <xf numFmtId="4" fontId="25" fillId="0" borderId="90" xfId="0" applyNumberFormat="1" applyFont="1" applyFill="1" applyBorder="1" applyAlignment="1" applyProtection="1">
      <alignment horizontal="left" vertical="center"/>
      <protection locked="0"/>
    </xf>
    <xf numFmtId="4" fontId="25" fillId="0" borderId="61" xfId="0" applyNumberFormat="1" applyFont="1" applyFill="1" applyBorder="1" applyAlignment="1" applyProtection="1">
      <alignment horizontal="left" vertical="center"/>
      <protection locked="0"/>
    </xf>
    <xf numFmtId="4" fontId="25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90" xfId="0" applyNumberFormat="1" applyFont="1" applyFill="1" applyBorder="1" applyAlignment="1" applyProtection="1">
      <alignment vertical="center"/>
      <protection locked="0"/>
    </xf>
    <xf numFmtId="4" fontId="25" fillId="0" borderId="61" xfId="0" applyNumberFormat="1" applyFont="1" applyFill="1" applyBorder="1" applyAlignment="1" applyProtection="1">
      <alignment vertical="center"/>
      <protection locked="0"/>
    </xf>
    <xf numFmtId="4" fontId="9" fillId="0" borderId="99" xfId="0" applyNumberFormat="1" applyFont="1" applyFill="1" applyBorder="1" applyAlignment="1" applyProtection="1">
      <alignment horizontal="left" vertical="center" wrapText="1"/>
      <protection locked="0"/>
    </xf>
    <xf numFmtId="4" fontId="9" fillId="0" borderId="65" xfId="0" applyNumberFormat="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5" xfId="0" applyNumberFormat="1" applyFont="1" applyFill="1" applyBorder="1" applyAlignment="1" applyProtection="1">
      <alignment vertical="center"/>
      <protection locked="0"/>
    </xf>
    <xf numFmtId="4" fontId="8" fillId="0" borderId="57" xfId="0" applyNumberFormat="1" applyFont="1" applyFill="1" applyBorder="1" applyAlignment="1" applyProtection="1">
      <alignment vertical="center"/>
      <protection locked="0"/>
    </xf>
    <xf numFmtId="4" fontId="9" fillId="0" borderId="99" xfId="0" applyNumberFormat="1" applyFont="1" applyBorder="1" applyAlignment="1" applyProtection="1">
      <alignment horizontal="left" vertical="center"/>
      <protection locked="0"/>
    </xf>
    <xf numFmtId="4" fontId="9" fillId="0" borderId="65" xfId="0" applyNumberFormat="1" applyFont="1" applyBorder="1" applyAlignment="1" applyProtection="1">
      <alignment horizontal="left" vertical="center"/>
      <protection locked="0"/>
    </xf>
    <xf numFmtId="4" fontId="6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6" fillId="0" borderId="90" xfId="0" applyNumberFormat="1" applyFont="1" applyFill="1" applyBorder="1" applyAlignment="1" applyProtection="1">
      <alignment horizontal="left" vertical="center"/>
      <protection locked="0"/>
    </xf>
    <xf numFmtId="4" fontId="6" fillId="0" borderId="61" xfId="0" applyNumberFormat="1" applyFont="1" applyFill="1" applyBorder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Alignment="1">
      <alignment vertical="center"/>
    </xf>
    <xf numFmtId="0" fontId="11" fillId="0" borderId="61" xfId="0" applyFont="1" applyBorder="1" applyAlignment="1">
      <alignment vertical="center"/>
    </xf>
    <xf numFmtId="0" fontId="11" fillId="0" borderId="65" xfId="0" applyFont="1" applyFill="1" applyBorder="1" applyAlignment="1">
      <alignment vertical="center"/>
    </xf>
    <xf numFmtId="0" fontId="11" fillId="0" borderId="21" xfId="0" applyFont="1" applyBorder="1" applyAlignment="1">
      <alignment vertical="center"/>
    </xf>
    <xf numFmtId="4" fontId="17" fillId="0" borderId="0" xfId="0" applyNumberFormat="1" applyFont="1" applyBorder="1" applyAlignment="1" applyProtection="1">
      <alignment horizontal="left" vertical="center"/>
      <protection locked="0"/>
    </xf>
    <xf numFmtId="4" fontId="6" fillId="0" borderId="55" xfId="0" applyNumberFormat="1" applyFont="1" applyFill="1" applyBorder="1" applyAlignment="1" applyProtection="1">
      <alignment vertical="center" wrapText="1"/>
      <protection locked="0"/>
    </xf>
    <xf numFmtId="0" fontId="11" fillId="0" borderId="57" xfId="0" applyFont="1" applyBorder="1" applyAlignment="1">
      <alignment vertical="center"/>
    </xf>
    <xf numFmtId="4" fontId="6" fillId="0" borderId="90" xfId="0" applyNumberFormat="1" applyFont="1" applyFill="1" applyBorder="1" applyAlignment="1" applyProtection="1">
      <alignment vertical="center" wrapText="1"/>
      <protection locked="0"/>
    </xf>
    <xf numFmtId="4" fontId="8" fillId="0" borderId="99" xfId="0" applyNumberFormat="1" applyFont="1" applyBorder="1" applyAlignment="1" applyProtection="1">
      <alignment horizontal="justify" vertical="center"/>
      <protection locked="0"/>
    </xf>
    <xf numFmtId="4" fontId="8" fillId="0" borderId="65" xfId="0" applyNumberFormat="1" applyFont="1" applyBorder="1" applyAlignment="1" applyProtection="1">
      <alignment horizontal="justify" vertical="center"/>
      <protection locked="0"/>
    </xf>
    <xf numFmtId="4" fontId="9" fillId="0" borderId="99" xfId="0" applyNumberFormat="1" applyFont="1" applyBorder="1" applyAlignment="1" applyProtection="1">
      <alignment horizontal="right" vertical="center" wrapText="1"/>
      <protection locked="0"/>
    </xf>
    <xf numFmtId="4" fontId="9" fillId="0" borderId="102" xfId="0" applyNumberFormat="1" applyFont="1" applyBorder="1" applyAlignment="1" applyProtection="1">
      <alignment horizontal="right" vertical="center" wrapText="1"/>
      <protection locked="0"/>
    </xf>
    <xf numFmtId="4" fontId="9" fillId="0" borderId="65" xfId="0" applyNumberFormat="1" applyFont="1" applyBorder="1" applyAlignment="1" applyProtection="1">
      <alignment horizontal="right" vertical="center" wrapText="1"/>
      <protection locked="0"/>
    </xf>
    <xf numFmtId="4" fontId="8" fillId="7" borderId="20" xfId="0" applyNumberFormat="1" applyFont="1" applyFill="1" applyBorder="1" applyAlignment="1" applyProtection="1">
      <alignment horizontal="justify" vertical="center"/>
      <protection locked="0"/>
    </xf>
    <xf numFmtId="4" fontId="8" fillId="7" borderId="21" xfId="0" applyNumberFormat="1" applyFont="1" applyFill="1" applyBorder="1" applyAlignment="1" applyProtection="1">
      <alignment horizontal="justify" vertical="center"/>
      <protection locked="0"/>
    </xf>
    <xf numFmtId="4" fontId="8" fillId="7" borderId="20" xfId="0" applyNumberFormat="1" applyFont="1" applyFill="1" applyBorder="1" applyAlignment="1" applyProtection="1">
      <alignment horizontal="right" vertical="center"/>
    </xf>
    <xf numFmtId="4" fontId="8" fillId="7" borderId="29" xfId="0" applyNumberFormat="1" applyFont="1" applyFill="1" applyBorder="1" applyAlignment="1" applyProtection="1">
      <alignment horizontal="right" vertical="center"/>
    </xf>
    <xf numFmtId="4" fontId="8" fillId="7" borderId="21" xfId="0" applyNumberFormat="1" applyFont="1" applyFill="1" applyBorder="1" applyAlignment="1" applyProtection="1">
      <alignment horizontal="right" vertical="center"/>
    </xf>
    <xf numFmtId="4" fontId="17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>
      <alignment horizontal="left" vertical="center"/>
    </xf>
    <xf numFmtId="4" fontId="8" fillId="0" borderId="90" xfId="0" applyNumberFormat="1" applyFont="1" applyBorder="1" applyAlignment="1" applyProtection="1">
      <alignment horizontal="justify" vertical="center"/>
      <protection locked="0"/>
    </xf>
    <xf numFmtId="4" fontId="8" fillId="0" borderId="61" xfId="0" applyNumberFormat="1" applyFont="1" applyBorder="1" applyAlignment="1" applyProtection="1">
      <alignment horizontal="justify" vertical="center"/>
      <protection locked="0"/>
    </xf>
    <xf numFmtId="4" fontId="9" fillId="0" borderId="90" xfId="0" applyNumberFormat="1" applyFont="1" applyBorder="1" applyAlignment="1" applyProtection="1">
      <alignment horizontal="right" vertical="center" wrapText="1"/>
      <protection locked="0"/>
    </xf>
    <xf numFmtId="4" fontId="9" fillId="0" borderId="91" xfId="0" applyNumberFormat="1" applyFont="1" applyBorder="1" applyAlignment="1" applyProtection="1">
      <alignment horizontal="right" vertical="center" wrapText="1"/>
      <protection locked="0"/>
    </xf>
    <xf numFmtId="4" fontId="9" fillId="0" borderId="61" xfId="0" applyNumberFormat="1" applyFont="1" applyBorder="1" applyAlignment="1" applyProtection="1">
      <alignment horizontal="right" vertical="center" wrapText="1"/>
      <protection locked="0"/>
    </xf>
    <xf numFmtId="4" fontId="25" fillId="0" borderId="90" xfId="0" applyNumberFormat="1" applyFont="1" applyBorder="1" applyAlignment="1" applyProtection="1">
      <alignment horizontal="justify" vertical="center"/>
      <protection locked="0"/>
    </xf>
    <xf numFmtId="4" fontId="25" fillId="0" borderId="61" xfId="0" applyNumberFormat="1" applyFont="1" applyBorder="1" applyAlignment="1" applyProtection="1">
      <alignment horizontal="justify" vertical="center"/>
      <protection locked="0"/>
    </xf>
    <xf numFmtId="4" fontId="25" fillId="0" borderId="90" xfId="0" applyNumberFormat="1" applyFont="1" applyBorder="1" applyAlignment="1" applyProtection="1">
      <alignment horizontal="right" vertical="center" wrapText="1"/>
      <protection locked="0"/>
    </xf>
    <xf numFmtId="4" fontId="25" fillId="0" borderId="91" xfId="0" applyNumberFormat="1" applyFont="1" applyBorder="1" applyAlignment="1" applyProtection="1">
      <alignment horizontal="right" vertical="center" wrapText="1"/>
      <protection locked="0"/>
    </xf>
    <xf numFmtId="4" fontId="25" fillId="0" borderId="61" xfId="0" applyNumberFormat="1" applyFont="1" applyBorder="1" applyAlignment="1" applyProtection="1">
      <alignment horizontal="right" vertical="center" wrapText="1"/>
      <protection locked="0"/>
    </xf>
    <xf numFmtId="4" fontId="8" fillId="0" borderId="100" xfId="0" applyNumberFormat="1" applyFont="1" applyBorder="1" applyAlignment="1" applyProtection="1">
      <alignment horizontal="justify" vertical="center"/>
      <protection locked="0"/>
    </xf>
    <xf numFmtId="4" fontId="8" fillId="0" borderId="101" xfId="0" applyNumberFormat="1" applyFont="1" applyBorder="1" applyAlignment="1" applyProtection="1">
      <alignment horizontal="justify" vertical="center"/>
      <protection locked="0"/>
    </xf>
    <xf numFmtId="4" fontId="17" fillId="7" borderId="20" xfId="0" applyNumberFormat="1" applyFont="1" applyFill="1" applyBorder="1" applyAlignment="1">
      <alignment horizontal="center" vertical="center"/>
    </xf>
    <xf numFmtId="4" fontId="17" fillId="7" borderId="21" xfId="0" applyNumberFormat="1" applyFont="1" applyFill="1" applyBorder="1" applyAlignment="1">
      <alignment horizontal="center" vertical="center"/>
    </xf>
    <xf numFmtId="4" fontId="17" fillId="7" borderId="20" xfId="0" applyNumberFormat="1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4" fontId="8" fillId="0" borderId="55" xfId="0" applyNumberFormat="1" applyFont="1" applyBorder="1" applyAlignment="1" applyProtection="1">
      <alignment horizontal="justify" vertical="center"/>
      <protection locked="0"/>
    </xf>
    <xf numFmtId="4" fontId="8" fillId="0" borderId="57" xfId="0" applyNumberFormat="1" applyFont="1" applyBorder="1" applyAlignment="1" applyProtection="1">
      <alignment horizontal="justify" vertical="center"/>
      <protection locked="0"/>
    </xf>
    <xf numFmtId="4" fontId="24" fillId="0" borderId="55" xfId="0" applyNumberFormat="1" applyFont="1" applyBorder="1" applyAlignment="1" applyProtection="1">
      <alignment horizontal="left" vertical="center" wrapText="1"/>
      <protection locked="0"/>
    </xf>
    <xf numFmtId="4" fontId="24" fillId="0" borderId="56" xfId="0" applyNumberFormat="1" applyFont="1" applyBorder="1" applyAlignment="1" applyProtection="1">
      <alignment horizontal="left" vertical="center" wrapText="1"/>
      <protection locked="0"/>
    </xf>
    <xf numFmtId="4" fontId="24" fillId="0" borderId="57" xfId="0" applyNumberFormat="1" applyFont="1" applyBorder="1" applyAlignment="1" applyProtection="1">
      <alignment horizontal="left" vertical="center" wrapText="1"/>
      <protection locked="0"/>
    </xf>
    <xf numFmtId="4" fontId="9" fillId="0" borderId="55" xfId="0" applyNumberFormat="1" applyFont="1" applyBorder="1" applyAlignment="1" applyProtection="1">
      <alignment vertical="center" wrapText="1"/>
      <protection locked="0"/>
    </xf>
    <xf numFmtId="4" fontId="9" fillId="0" borderId="57" xfId="0" applyNumberFormat="1" applyFont="1" applyBorder="1" applyAlignment="1" applyProtection="1">
      <alignment vertical="center" wrapText="1"/>
      <protection locked="0"/>
    </xf>
    <xf numFmtId="4" fontId="9" fillId="0" borderId="90" xfId="0" applyNumberFormat="1" applyFont="1" applyBorder="1" applyAlignment="1" applyProtection="1">
      <alignment vertical="center" wrapText="1"/>
      <protection locked="0"/>
    </xf>
    <xf numFmtId="4" fontId="9" fillId="0" borderId="61" xfId="0" applyNumberFormat="1" applyFont="1" applyBorder="1" applyAlignment="1" applyProtection="1">
      <alignment vertical="center" wrapText="1"/>
      <protection locked="0"/>
    </xf>
    <xf numFmtId="4" fontId="9" fillId="0" borderId="99" xfId="0" applyNumberFormat="1" applyFont="1" applyBorder="1" applyAlignment="1" applyProtection="1">
      <alignment vertical="center" wrapText="1"/>
      <protection locked="0"/>
    </xf>
    <xf numFmtId="4" fontId="9" fillId="0" borderId="65" xfId="0" applyNumberFormat="1" applyFont="1" applyBorder="1" applyAlignment="1" applyProtection="1">
      <alignment vertical="center" wrapText="1"/>
      <protection locked="0"/>
    </xf>
    <xf numFmtId="4" fontId="8" fillId="7" borderId="21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>
      <alignment horizontal="left" vertical="center" wrapText="1"/>
    </xf>
    <xf numFmtId="4" fontId="8" fillId="4" borderId="29" xfId="0" applyNumberFormat="1" applyFont="1" applyFill="1" applyBorder="1" applyAlignment="1" applyProtection="1">
      <alignment vertical="center" wrapText="1"/>
      <protection locked="0"/>
    </xf>
    <xf numFmtId="4" fontId="8" fillId="4" borderId="94" xfId="0" applyNumberFormat="1" applyFont="1" applyFill="1" applyBorder="1" applyAlignment="1" applyProtection="1">
      <alignment vertical="center" wrapText="1"/>
      <protection locked="0"/>
    </xf>
    <xf numFmtId="4" fontId="17" fillId="0" borderId="90" xfId="0" applyNumberFormat="1" applyFont="1" applyFill="1" applyBorder="1" applyAlignment="1" applyProtection="1">
      <alignment vertical="center" wrapText="1"/>
      <protection locked="0"/>
    </xf>
    <xf numFmtId="4" fontId="17" fillId="0" borderId="91" xfId="0" applyNumberFormat="1" applyFont="1" applyFill="1" applyBorder="1" applyAlignment="1" applyProtection="1">
      <alignment vertical="center" wrapText="1"/>
      <protection locked="0"/>
    </xf>
    <xf numFmtId="4" fontId="8" fillId="0" borderId="90" xfId="0" applyNumberFormat="1" applyFont="1" applyFill="1" applyBorder="1" applyAlignment="1" applyProtection="1">
      <alignment vertical="center" wrapText="1"/>
      <protection locked="0"/>
    </xf>
    <xf numFmtId="4" fontId="8" fillId="0" borderId="91" xfId="0" applyNumberFormat="1" applyFont="1" applyFill="1" applyBorder="1" applyAlignment="1" applyProtection="1">
      <alignment vertical="center" wrapText="1"/>
      <protection locked="0"/>
    </xf>
    <xf numFmtId="4" fontId="17" fillId="4" borderId="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9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91" xfId="0" applyFont="1" applyFill="1" applyBorder="1" applyAlignment="1">
      <alignment horizontal="left" vertical="center" wrapText="1"/>
    </xf>
    <xf numFmtId="0" fontId="11" fillId="0" borderId="61" xfId="0" applyFont="1" applyFill="1" applyBorder="1" applyAlignment="1">
      <alignment horizontal="left" vertical="center" wrapText="1"/>
    </xf>
    <xf numFmtId="4" fontId="6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6" fillId="0" borderId="59" xfId="0" applyNumberFormat="1" applyFont="1" applyFill="1" applyBorder="1" applyAlignment="1" applyProtection="1">
      <alignment horizontal="left" vertical="center" wrapText="1"/>
      <protection locked="0"/>
    </xf>
    <xf numFmtId="44" fontId="8" fillId="4" borderId="20" xfId="1" applyFont="1" applyFill="1" applyBorder="1" applyAlignment="1" applyProtection="1">
      <alignment horizontal="left" vertical="center" wrapText="1"/>
      <protection locked="0"/>
    </xf>
    <xf numFmtId="44" fontId="8" fillId="4" borderId="29" xfId="1" applyFont="1" applyFill="1" applyBorder="1" applyAlignment="1" applyProtection="1">
      <alignment horizontal="left" vertical="center" wrapText="1"/>
      <protection locked="0"/>
    </xf>
    <xf numFmtId="44" fontId="8" fillId="4" borderId="21" xfId="1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1" fillId="0" borderId="48" xfId="0" applyFont="1" applyBorder="1" applyAlignment="1">
      <alignment wrapText="1"/>
    </xf>
    <xf numFmtId="0" fontId="11" fillId="0" borderId="86" xfId="0" applyFont="1" applyBorder="1" applyAlignment="1">
      <alignment wrapText="1"/>
    </xf>
    <xf numFmtId="4" fontId="8" fillId="7" borderId="20" xfId="0" applyNumberFormat="1" applyFont="1" applyFill="1" applyBorder="1" applyAlignment="1">
      <alignment horizontal="left" vertical="center"/>
    </xf>
    <xf numFmtId="4" fontId="8" fillId="7" borderId="21" xfId="0" applyNumberFormat="1" applyFont="1" applyFill="1" applyBorder="1" applyAlignment="1">
      <alignment horizontal="left" vertical="center"/>
    </xf>
    <xf numFmtId="4" fontId="17" fillId="0" borderId="0" xfId="0" applyNumberFormat="1" applyFont="1" applyFill="1" applyBorder="1" applyAlignment="1" applyProtection="1">
      <alignment horizontal="left" vertical="center"/>
      <protection locked="0"/>
    </xf>
    <xf numFmtId="4" fontId="17" fillId="4" borderId="2" xfId="0" applyNumberFormat="1" applyFont="1" applyFill="1" applyBorder="1" applyAlignment="1" applyProtection="1">
      <alignment horizontal="center" vertical="center"/>
      <protection locked="0"/>
    </xf>
    <xf numFmtId="4" fontId="17" fillId="4" borderId="3" xfId="0" applyNumberFormat="1" applyFont="1" applyFill="1" applyBorder="1" applyAlignment="1" applyProtection="1">
      <alignment horizontal="center" vertical="center"/>
      <protection locked="0"/>
    </xf>
    <xf numFmtId="4" fontId="17" fillId="4" borderId="4" xfId="0" applyNumberFormat="1" applyFont="1" applyFill="1" applyBorder="1" applyAlignment="1" applyProtection="1">
      <alignment horizontal="center" vertical="center"/>
      <protection locked="0"/>
    </xf>
    <xf numFmtId="4" fontId="17" fillId="4" borderId="9" xfId="0" applyNumberFormat="1" applyFont="1" applyFill="1" applyBorder="1" applyAlignment="1" applyProtection="1">
      <alignment horizontal="center" vertical="center"/>
      <protection locked="0"/>
    </xf>
    <xf numFmtId="4" fontId="17" fillId="4" borderId="10" xfId="0" applyNumberFormat="1" applyFont="1" applyFill="1" applyBorder="1" applyAlignment="1" applyProtection="1">
      <alignment horizontal="center" vertical="center"/>
      <protection locked="0"/>
    </xf>
    <xf numFmtId="4" fontId="17" fillId="4" borderId="11" xfId="0" applyNumberFormat="1" applyFont="1" applyFill="1" applyBorder="1" applyAlignment="1" applyProtection="1">
      <alignment horizontal="center" vertical="center"/>
      <protection locked="0"/>
    </xf>
    <xf numFmtId="4" fontId="17" fillId="7" borderId="4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>
      <alignment horizontal="left" wrapText="1"/>
    </xf>
    <xf numFmtId="0" fontId="11" fillId="0" borderId="26" xfId="0" applyFont="1" applyBorder="1" applyAlignment="1">
      <alignment horizontal="left" wrapText="1"/>
    </xf>
    <xf numFmtId="0" fontId="11" fillId="0" borderId="25" xfId="0" applyFont="1" applyFill="1" applyBorder="1" applyAlignment="1">
      <alignment wrapText="1"/>
    </xf>
    <xf numFmtId="0" fontId="11" fillId="0" borderId="26" xfId="0" applyFont="1" applyFill="1" applyBorder="1" applyAlignment="1">
      <alignment wrapText="1"/>
    </xf>
    <xf numFmtId="0" fontId="11" fillId="0" borderId="50" xfId="0" applyFont="1" applyBorder="1" applyAlignment="1">
      <alignment wrapText="1"/>
    </xf>
    <xf numFmtId="0" fontId="11" fillId="0" borderId="69" xfId="0" applyFont="1" applyBorder="1" applyAlignment="1">
      <alignment wrapText="1"/>
    </xf>
    <xf numFmtId="4" fontId="17" fillId="8" borderId="55" xfId="0" applyNumberFormat="1" applyFont="1" applyFill="1" applyBorder="1" applyAlignment="1">
      <alignment horizontal="left" vertical="center" wrapText="1"/>
    </xf>
    <xf numFmtId="0" fontId="11" fillId="8" borderId="56" xfId="0" applyFont="1" applyFill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50" xfId="0" applyFont="1" applyFill="1" applyBorder="1" applyAlignment="1">
      <alignment wrapText="1"/>
    </xf>
    <xf numFmtId="0" fontId="11" fillId="0" borderId="69" xfId="0" applyFont="1" applyFill="1" applyBorder="1" applyAlignment="1">
      <alignment wrapText="1"/>
    </xf>
    <xf numFmtId="0" fontId="11" fillId="0" borderId="27" xfId="0" applyFont="1" applyBorder="1" applyAlignment="1">
      <alignment wrapText="1"/>
    </xf>
    <xf numFmtId="0" fontId="11" fillId="0" borderId="79" xfId="0" applyFont="1" applyBorder="1" applyAlignment="1">
      <alignment wrapText="1"/>
    </xf>
    <xf numFmtId="0" fontId="15" fillId="0" borderId="33" xfId="0" applyFont="1" applyFill="1" applyBorder="1" applyAlignment="1">
      <alignment horizontal="left" wrapText="1" indent="1"/>
    </xf>
    <xf numFmtId="0" fontId="15" fillId="0" borderId="35" xfId="0" applyFont="1" applyFill="1" applyBorder="1" applyAlignment="1">
      <alignment horizontal="left" wrapText="1" indent="1"/>
    </xf>
    <xf numFmtId="0" fontId="15" fillId="0" borderId="25" xfId="0" applyFont="1" applyFill="1" applyBorder="1" applyAlignment="1">
      <alignment horizontal="left" wrapText="1" indent="1"/>
    </xf>
    <xf numFmtId="0" fontId="15" fillId="0" borderId="78" xfId="0" applyFont="1" applyFill="1" applyBorder="1" applyAlignment="1">
      <alignment horizontal="left" wrapText="1" indent="1"/>
    </xf>
    <xf numFmtId="0" fontId="15" fillId="0" borderId="52" xfId="0" applyFont="1" applyFill="1" applyBorder="1" applyAlignment="1">
      <alignment horizontal="left" wrapText="1" indent="1"/>
    </xf>
    <xf numFmtId="0" fontId="15" fillId="0" borderId="83" xfId="0" applyFont="1" applyFill="1" applyBorder="1" applyAlignment="1">
      <alignment horizontal="left" wrapText="1" indent="1"/>
    </xf>
    <xf numFmtId="0" fontId="11" fillId="0" borderId="0" xfId="0" applyFont="1" applyAlignment="1">
      <alignment horizontal="left"/>
    </xf>
    <xf numFmtId="14" fontId="10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5" borderId="22" xfId="0" applyFont="1" applyFill="1" applyBorder="1" applyAlignment="1">
      <alignment wrapText="1"/>
    </xf>
    <xf numFmtId="0" fontId="10" fillId="5" borderId="77" xfId="0" applyFont="1" applyFill="1" applyBorder="1" applyAlignment="1">
      <alignment wrapText="1"/>
    </xf>
    <xf numFmtId="0" fontId="11" fillId="0" borderId="78" xfId="0" applyFont="1" applyBorder="1" applyAlignment="1">
      <alignment wrapText="1"/>
    </xf>
    <xf numFmtId="0" fontId="10" fillId="5" borderId="1" xfId="0" applyFont="1" applyFill="1" applyBorder="1" applyAlignment="1">
      <alignment horizontal="center" wrapText="1"/>
    </xf>
    <xf numFmtId="0" fontId="11" fillId="0" borderId="58" xfId="0" applyFont="1" applyBorder="1" applyAlignment="1">
      <alignment horizontal="center" wrapText="1"/>
    </xf>
    <xf numFmtId="0" fontId="10" fillId="5" borderId="55" xfId="0" applyFont="1" applyFill="1" applyBorder="1" applyAlignment="1">
      <alignment horizontal="center" wrapText="1"/>
    </xf>
    <xf numFmtId="0" fontId="10" fillId="5" borderId="56" xfId="0" applyFont="1" applyFill="1" applyBorder="1" applyAlignment="1">
      <alignment horizontal="center" wrapText="1"/>
    </xf>
    <xf numFmtId="0" fontId="10" fillId="5" borderId="57" xfId="0" applyFont="1" applyFill="1" applyBorder="1" applyAlignment="1">
      <alignment horizontal="center" wrapText="1"/>
    </xf>
    <xf numFmtId="0" fontId="10" fillId="0" borderId="25" xfId="0" applyFont="1" applyFill="1" applyBorder="1"/>
    <xf numFmtId="0" fontId="10" fillId="0" borderId="47" xfId="0" applyFont="1" applyFill="1" applyBorder="1"/>
    <xf numFmtId="0" fontId="14" fillId="2" borderId="25" xfId="0" applyFont="1" applyFill="1" applyBorder="1" applyAlignment="1"/>
    <xf numFmtId="0" fontId="14" fillId="2" borderId="39" xfId="0" applyFont="1" applyFill="1" applyBorder="1" applyAlignment="1"/>
    <xf numFmtId="0" fontId="11" fillId="0" borderId="26" xfId="0" applyFont="1" applyBorder="1" applyAlignment="1"/>
    <xf numFmtId="0" fontId="10" fillId="4" borderId="25" xfId="0" applyFont="1" applyFill="1" applyBorder="1" applyAlignment="1">
      <alignment horizontal="left"/>
    </xf>
    <xf numFmtId="0" fontId="10" fillId="4" borderId="47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4" fillId="2" borderId="2" xfId="0" applyFont="1" applyFill="1" applyBorder="1" applyAlignment="1"/>
    <xf numFmtId="0" fontId="14" fillId="2" borderId="3" xfId="0" applyFont="1" applyFill="1" applyBorder="1" applyAlignment="1"/>
    <xf numFmtId="0" fontId="11" fillId="0" borderId="3" xfId="0" applyFont="1" applyBorder="1" applyAlignment="1"/>
    <xf numFmtId="0" fontId="11" fillId="0" borderId="4" xfId="0" applyFont="1" applyBorder="1" applyAlignment="1"/>
    <xf numFmtId="0" fontId="15" fillId="0" borderId="48" xfId="0" applyFont="1" applyBorder="1"/>
    <xf numFmtId="0" fontId="15" fillId="0" borderId="49" xfId="0" applyFont="1" applyBorder="1"/>
    <xf numFmtId="0" fontId="10" fillId="2" borderId="50" xfId="0" applyFont="1" applyFill="1" applyBorder="1"/>
    <xf numFmtId="0" fontId="10" fillId="2" borderId="51" xfId="0" applyFont="1" applyFill="1" applyBorder="1"/>
    <xf numFmtId="4" fontId="16" fillId="0" borderId="25" xfId="0" applyNumberFormat="1" applyFont="1" applyFill="1" applyBorder="1" applyAlignment="1">
      <alignment vertical="center"/>
    </xf>
    <xf numFmtId="4" fontId="16" fillId="0" borderId="39" xfId="0" applyNumberFormat="1" applyFont="1" applyFill="1" applyBorder="1" applyAlignment="1">
      <alignment vertical="center"/>
    </xf>
    <xf numFmtId="0" fontId="15" fillId="0" borderId="25" xfId="0" applyFont="1" applyFill="1" applyBorder="1"/>
    <xf numFmtId="0" fontId="15" fillId="0" borderId="47" xfId="0" applyFont="1" applyFill="1" applyBorder="1"/>
    <xf numFmtId="0" fontId="10" fillId="2" borderId="25" xfId="0" applyFont="1" applyFill="1" applyBorder="1"/>
    <xf numFmtId="0" fontId="10" fillId="2" borderId="47" xfId="0" applyFont="1" applyFill="1" applyBorder="1"/>
    <xf numFmtId="0" fontId="15" fillId="0" borderId="25" xfId="0" applyFont="1" applyBorder="1"/>
    <xf numFmtId="0" fontId="15" fillId="0" borderId="47" xfId="0" applyFont="1" applyBorder="1"/>
    <xf numFmtId="0" fontId="14" fillId="0" borderId="25" xfId="0" applyFont="1" applyFill="1" applyBorder="1"/>
    <xf numFmtId="0" fontId="14" fillId="0" borderId="38" xfId="0" applyFont="1" applyFill="1" applyBorder="1"/>
    <xf numFmtId="0" fontId="14" fillId="0" borderId="26" xfId="0" applyFont="1" applyFill="1" applyBorder="1"/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10" fillId="4" borderId="37" xfId="0" applyFont="1" applyFill="1" applyBorder="1" applyAlignment="1">
      <alignment horizontal="center" wrapText="1"/>
    </xf>
    <xf numFmtId="0" fontId="14" fillId="0" borderId="39" xfId="0" applyFont="1" applyFill="1" applyBorder="1"/>
    <xf numFmtId="4" fontId="8" fillId="0" borderId="0" xfId="2" applyNumberFormat="1" applyFont="1" applyAlignment="1">
      <alignment horizontal="left" vertical="top" wrapText="1"/>
    </xf>
    <xf numFmtId="0" fontId="11" fillId="0" borderId="10" xfId="0" applyFont="1" applyBorder="1" applyAlignment="1">
      <alignment wrapText="1"/>
    </xf>
    <xf numFmtId="0" fontId="10" fillId="4" borderId="20" xfId="0" applyFont="1" applyFill="1" applyBorder="1" applyAlignment="1">
      <alignment horizontal="center" wrapText="1"/>
    </xf>
    <xf numFmtId="0" fontId="10" fillId="4" borderId="29" xfId="0" applyFont="1" applyFill="1" applyBorder="1" applyAlignment="1">
      <alignment horizontal="center" wrapText="1"/>
    </xf>
    <xf numFmtId="0" fontId="10" fillId="4" borderId="2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3" xfId="0" applyFont="1" applyFill="1" applyBorder="1" applyAlignment="1">
      <alignment horizontal="center" wrapText="1"/>
    </xf>
    <xf numFmtId="0" fontId="10" fillId="4" borderId="30" xfId="0" applyFont="1" applyFill="1" applyBorder="1" applyAlignment="1">
      <alignment horizontal="center" wrapText="1"/>
    </xf>
    <xf numFmtId="0" fontId="10" fillId="4" borderId="34" xfId="0" applyFont="1" applyFill="1" applyBorder="1" applyAlignment="1">
      <alignment horizontal="center" wrapText="1"/>
    </xf>
    <xf numFmtId="0" fontId="13" fillId="4" borderId="30" xfId="3" applyFont="1" applyFill="1" applyBorder="1" applyAlignment="1">
      <alignment wrapText="1"/>
    </xf>
    <xf numFmtId="0" fontId="13" fillId="4" borderId="34" xfId="3" applyFont="1" applyFill="1" applyBorder="1" applyAlignment="1">
      <alignment wrapText="1"/>
    </xf>
    <xf numFmtId="0" fontId="10" fillId="4" borderId="31" xfId="0" applyFont="1" applyFill="1" applyBorder="1" applyAlignment="1">
      <alignment horizontal="center" wrapText="1"/>
    </xf>
    <xf numFmtId="0" fontId="10" fillId="4" borderId="35" xfId="0" applyFont="1" applyFill="1" applyBorder="1" applyAlignment="1">
      <alignment horizontal="center" wrapText="1"/>
    </xf>
  </cellXfs>
  <cellStyles count="4">
    <cellStyle name="Normal 3" xfId="2"/>
    <cellStyle name="Normalny" xfId="0" builtinId="0"/>
    <cellStyle name="Normalny 2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_KK.04/Sprawozdania%202024%20Wydzial%20Ksiegowosci/SF_UM_2024/SF_U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4"/>
      <sheetName val="RZiS 31.12.2024"/>
      <sheetName val="ZZwFJ 31.12.2024"/>
      <sheetName val="II.Dodatk_info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dopłaty"/>
      <sheetName val="Nota II.2.5.g"/>
      <sheetName val="Nota II.3.1"/>
      <sheetName val="Nota II.3.2"/>
      <sheetName val="II.3.3."/>
    </sheetNames>
    <sheetDataSet>
      <sheetData sheetId="0">
        <row r="9">
          <cell r="F9">
            <v>-1204111589.21</v>
          </cell>
        </row>
        <row r="10">
          <cell r="E10">
            <v>14980593013.35</v>
          </cell>
          <cell r="F10">
            <v>20719244396.16</v>
          </cell>
        </row>
      </sheetData>
      <sheetData sheetId="1">
        <row r="45">
          <cell r="D45">
            <v>20719244396.160004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7">
          <cell r="B107">
            <v>9549976373.6000004</v>
          </cell>
          <cell r="C107">
            <v>159604240.12</v>
          </cell>
          <cell r="D107">
            <v>4334358964.5699997</v>
          </cell>
          <cell r="E107">
            <v>264078899.33000001</v>
          </cell>
          <cell r="F107">
            <v>6945652.4800000004</v>
          </cell>
          <cell r="G107">
            <v>250765339.58000001</v>
          </cell>
          <cell r="H107">
            <v>2024378134.48</v>
          </cell>
        </row>
        <row r="109">
          <cell r="B109">
            <v>142383305.75</v>
          </cell>
          <cell r="C109">
            <v>460236.88</v>
          </cell>
          <cell r="D109">
            <v>68568340.260000005</v>
          </cell>
          <cell r="E109">
            <v>1368495.19</v>
          </cell>
          <cell r="F109">
            <v>351473.84</v>
          </cell>
          <cell r="G109">
            <v>18585059.43</v>
          </cell>
          <cell r="H109">
            <v>406403747.17000002</v>
          </cell>
        </row>
        <row r="110">
          <cell r="B110">
            <v>563968275.25999999</v>
          </cell>
          <cell r="C110">
            <v>810354.56</v>
          </cell>
          <cell r="D110">
            <v>174023637.03</v>
          </cell>
          <cell r="E110">
            <v>68671.37</v>
          </cell>
          <cell r="F110">
            <v>0</v>
          </cell>
          <cell r="G110">
            <v>7974190.0999999996</v>
          </cell>
          <cell r="H110">
            <v>381469501.26999998</v>
          </cell>
        </row>
        <row r="111">
          <cell r="B111">
            <v>1257235.08</v>
          </cell>
          <cell r="C111">
            <v>0</v>
          </cell>
          <cell r="D111">
            <v>208226501.56999999</v>
          </cell>
          <cell r="E111">
            <v>34494865.100000001</v>
          </cell>
          <cell r="F111">
            <v>546498.36</v>
          </cell>
          <cell r="G111">
            <v>5629519.29</v>
          </cell>
          <cell r="H111">
            <v>-250154619.40000001</v>
          </cell>
        </row>
        <row r="113">
          <cell r="B113">
            <v>2590859.85</v>
          </cell>
          <cell r="C113">
            <v>150703</v>
          </cell>
          <cell r="D113">
            <v>1077471.06</v>
          </cell>
          <cell r="E113">
            <v>6778140.1699999999</v>
          </cell>
          <cell r="F113">
            <v>487476.88</v>
          </cell>
          <cell r="G113">
            <v>6886530.0700000003</v>
          </cell>
          <cell r="H113">
            <v>38504923.420000002</v>
          </cell>
        </row>
        <row r="114">
          <cell r="B114">
            <v>64851160.759999998</v>
          </cell>
          <cell r="C114">
            <v>3060802.77</v>
          </cell>
          <cell r="D114">
            <v>161489716.16</v>
          </cell>
          <cell r="E114">
            <v>6142264.8799999999</v>
          </cell>
          <cell r="F114">
            <v>924764.5</v>
          </cell>
          <cell r="G114">
            <v>9466040.8399999999</v>
          </cell>
          <cell r="H114">
            <v>414289643.76999998</v>
          </cell>
        </row>
        <row r="117">
          <cell r="B117">
            <v>59277346.780000001</v>
          </cell>
          <cell r="C117">
            <v>0</v>
          </cell>
          <cell r="D117">
            <v>2094952697.4400001</v>
          </cell>
          <cell r="E117">
            <v>214420909.03</v>
          </cell>
          <cell r="F117">
            <v>5777654.4199999999</v>
          </cell>
          <cell r="G117">
            <v>218923819.93000001</v>
          </cell>
          <cell r="H117">
            <v>0</v>
          </cell>
        </row>
        <row r="119">
          <cell r="B119">
            <v>7413572.7300000004</v>
          </cell>
          <cell r="C119">
            <v>0</v>
          </cell>
          <cell r="D119">
            <v>138409032.34</v>
          </cell>
          <cell r="E119">
            <v>17646135.18</v>
          </cell>
          <cell r="F119">
            <v>304735.78000000003</v>
          </cell>
          <cell r="G119">
            <v>5380450.79</v>
          </cell>
          <cell r="H119">
            <v>0</v>
          </cell>
        </row>
        <row r="120">
          <cell r="B120">
            <v>188098.61</v>
          </cell>
          <cell r="C120">
            <v>0</v>
          </cell>
          <cell r="D120">
            <v>8010023.54</v>
          </cell>
          <cell r="E120">
            <v>1794173.95</v>
          </cell>
          <cell r="F120">
            <v>0</v>
          </cell>
          <cell r="G120">
            <v>22378052.530000001</v>
          </cell>
          <cell r="H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3">
          <cell r="B123">
            <v>283172.33</v>
          </cell>
          <cell r="C123">
            <v>0</v>
          </cell>
          <cell r="D123">
            <v>510566.08</v>
          </cell>
          <cell r="E123">
            <v>6462698.8799999999</v>
          </cell>
          <cell r="F123">
            <v>487015.78</v>
          </cell>
          <cell r="G123">
            <v>6304055.0099999998</v>
          </cell>
          <cell r="H123">
            <v>0</v>
          </cell>
        </row>
        <row r="124">
          <cell r="B124">
            <v>3214289.81</v>
          </cell>
          <cell r="C124">
            <v>0</v>
          </cell>
          <cell r="D124">
            <v>13061851.17</v>
          </cell>
          <cell r="E124">
            <v>1678002.07</v>
          </cell>
          <cell r="F124">
            <v>747295.6</v>
          </cell>
          <cell r="G124">
            <v>4309658.8099999996</v>
          </cell>
          <cell r="H124">
            <v>0</v>
          </cell>
        </row>
        <row r="127">
          <cell r="B127">
            <v>16674169.43</v>
          </cell>
          <cell r="C127">
            <v>16674169.43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4405243.4800000004</v>
          </cell>
        </row>
        <row r="128">
          <cell r="B128">
            <v>807172.38</v>
          </cell>
          <cell r="C128">
            <v>807172.38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816008.11</v>
          </cell>
          <cell r="C129">
            <v>816008.11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</sheetData>
      <sheetData sheetId="13">
        <row r="101">
          <cell r="B101">
            <v>215736741.66999999</v>
          </cell>
        </row>
        <row r="103">
          <cell r="B103">
            <v>15834576.789999999</v>
          </cell>
        </row>
        <row r="104">
          <cell r="B104">
            <v>265749.11</v>
          </cell>
        </row>
        <row r="106">
          <cell r="B106">
            <v>1570318.48</v>
          </cell>
        </row>
        <row r="107">
          <cell r="B107">
            <v>1140830.8400000001</v>
          </cell>
        </row>
        <row r="110">
          <cell r="B110">
            <v>183753863.30000001</v>
          </cell>
        </row>
        <row r="112">
          <cell r="B112">
            <v>14697086.699999999</v>
          </cell>
        </row>
        <row r="113">
          <cell r="B113">
            <v>1542256.48</v>
          </cell>
        </row>
        <row r="115">
          <cell r="B115">
            <v>1563510.88</v>
          </cell>
        </row>
        <row r="116">
          <cell r="B116">
            <v>6807.6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</sheetData>
      <sheetData sheetId="14">
        <row r="93">
          <cell r="C93">
            <v>423749.74</v>
          </cell>
          <cell r="D93">
            <v>18780484.579999998</v>
          </cell>
          <cell r="E93">
            <v>0</v>
          </cell>
        </row>
        <row r="95">
          <cell r="C95">
            <v>0</v>
          </cell>
          <cell r="D95">
            <v>0</v>
          </cell>
          <cell r="E95">
            <v>0</v>
          </cell>
        </row>
        <row r="96">
          <cell r="C96">
            <v>0</v>
          </cell>
          <cell r="D96">
            <v>74049.08</v>
          </cell>
          <cell r="E96">
            <v>0</v>
          </cell>
        </row>
        <row r="98">
          <cell r="C98">
            <v>0</v>
          </cell>
          <cell r="D98">
            <v>0</v>
          </cell>
          <cell r="E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</row>
        <row r="104">
          <cell r="C104">
            <v>0</v>
          </cell>
          <cell r="D104">
            <v>0</v>
          </cell>
          <cell r="E104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</row>
      </sheetData>
      <sheetData sheetId="15"/>
      <sheetData sheetId="16">
        <row r="76">
          <cell r="B76">
            <v>0</v>
          </cell>
          <cell r="C76">
            <v>21079412.91</v>
          </cell>
          <cell r="D76">
            <v>0</v>
          </cell>
          <cell r="E76">
            <v>51681962.789999999</v>
          </cell>
          <cell r="F76">
            <v>0</v>
          </cell>
          <cell r="G76">
            <v>55233662.079999998</v>
          </cell>
          <cell r="H76">
            <v>0</v>
          </cell>
          <cell r="I76">
            <v>0</v>
          </cell>
        </row>
        <row r="77">
          <cell r="B77">
            <v>0</v>
          </cell>
          <cell r="C77">
            <v>807172.38</v>
          </cell>
          <cell r="D77">
            <v>0</v>
          </cell>
          <cell r="E77">
            <v>2959968.4</v>
          </cell>
          <cell r="F77">
            <v>0</v>
          </cell>
          <cell r="G77">
            <v>24272163.469999999</v>
          </cell>
          <cell r="H77">
            <v>0</v>
          </cell>
          <cell r="I77">
            <v>0</v>
          </cell>
        </row>
        <row r="78">
          <cell r="B78">
            <v>0</v>
          </cell>
          <cell r="C78">
            <v>816008.11</v>
          </cell>
          <cell r="D78">
            <v>0</v>
          </cell>
          <cell r="E78">
            <v>0</v>
          </cell>
          <cell r="F78">
            <v>0</v>
          </cell>
          <cell r="G78">
            <v>13464062.619999999</v>
          </cell>
          <cell r="H78">
            <v>0</v>
          </cell>
          <cell r="I78">
            <v>0</v>
          </cell>
        </row>
      </sheetData>
      <sheetData sheetId="17">
        <row r="33">
          <cell r="B33">
            <v>230745643.31999999</v>
          </cell>
          <cell r="C33">
            <v>248984151.03999999</v>
          </cell>
        </row>
      </sheetData>
      <sheetData sheetId="18">
        <row r="54">
          <cell r="B54">
            <v>0</v>
          </cell>
          <cell r="C54">
            <v>0</v>
          </cell>
        </row>
        <row r="55">
          <cell r="B55">
            <v>0</v>
          </cell>
          <cell r="C55">
            <v>0</v>
          </cell>
        </row>
        <row r="56">
          <cell r="B56">
            <v>415715.2</v>
          </cell>
          <cell r="C56">
            <v>402715.2</v>
          </cell>
        </row>
        <row r="57">
          <cell r="B57">
            <v>5102186</v>
          </cell>
          <cell r="C57">
            <v>5070613</v>
          </cell>
        </row>
        <row r="58">
          <cell r="B58">
            <v>18074.919999999998</v>
          </cell>
          <cell r="C58">
            <v>18074.919999999998</v>
          </cell>
        </row>
      </sheetData>
      <sheetData sheetId="19">
        <row r="414">
          <cell r="C414">
            <v>10406</v>
          </cell>
          <cell r="D414">
            <v>100</v>
          </cell>
          <cell r="E414">
            <v>520300</v>
          </cell>
          <cell r="F414">
            <v>0</v>
          </cell>
          <cell r="G414">
            <v>520300</v>
          </cell>
          <cell r="H414">
            <v>-422600</v>
          </cell>
          <cell r="I414">
            <v>1486700</v>
          </cell>
        </row>
        <row r="415">
          <cell r="C415">
            <v>690835</v>
          </cell>
          <cell r="D415">
            <v>100</v>
          </cell>
          <cell r="E415">
            <v>345417500</v>
          </cell>
          <cell r="F415">
            <v>0</v>
          </cell>
          <cell r="G415">
            <v>345417500</v>
          </cell>
          <cell r="H415">
            <v>9444000</v>
          </cell>
          <cell r="I415">
            <v>686182000</v>
          </cell>
        </row>
        <row r="416">
          <cell r="C416">
            <v>752940</v>
          </cell>
          <cell r="D416">
            <v>100</v>
          </cell>
          <cell r="E416">
            <v>376470000</v>
          </cell>
          <cell r="F416">
            <v>0</v>
          </cell>
          <cell r="G416">
            <v>376470000</v>
          </cell>
          <cell r="H416">
            <v>12147783.48</v>
          </cell>
          <cell r="I416">
            <v>774754228.75</v>
          </cell>
        </row>
        <row r="417">
          <cell r="C417">
            <v>375119</v>
          </cell>
          <cell r="D417">
            <v>100</v>
          </cell>
          <cell r="E417">
            <v>187559500</v>
          </cell>
          <cell r="F417">
            <v>0</v>
          </cell>
          <cell r="G417">
            <v>187559500</v>
          </cell>
          <cell r="H417">
            <v>2801800</v>
          </cell>
          <cell r="I417">
            <v>297181200</v>
          </cell>
        </row>
        <row r="418">
          <cell r="C418">
            <v>27722501</v>
          </cell>
          <cell r="D418">
            <v>100</v>
          </cell>
          <cell r="E418">
            <v>2772250100</v>
          </cell>
          <cell r="F418">
            <v>0</v>
          </cell>
          <cell r="G418">
            <v>2772250100</v>
          </cell>
          <cell r="H418">
            <v>13268347.550000001</v>
          </cell>
          <cell r="I418">
            <v>4572412818.5799999</v>
          </cell>
        </row>
        <row r="419">
          <cell r="C419">
            <v>1135516</v>
          </cell>
          <cell r="D419">
            <v>100</v>
          </cell>
          <cell r="E419">
            <v>567758000</v>
          </cell>
          <cell r="F419">
            <v>0</v>
          </cell>
          <cell r="G419">
            <v>567758000</v>
          </cell>
          <cell r="H419">
            <v>4510400</v>
          </cell>
          <cell r="I419">
            <v>768217700</v>
          </cell>
        </row>
        <row r="420">
          <cell r="C420">
            <v>10000</v>
          </cell>
          <cell r="D420">
            <v>100</v>
          </cell>
          <cell r="E420">
            <v>5000000</v>
          </cell>
          <cell r="F420">
            <v>0</v>
          </cell>
          <cell r="G420">
            <v>5000000</v>
          </cell>
          <cell r="H420">
            <v>3511400</v>
          </cell>
          <cell r="I420">
            <v>28664200</v>
          </cell>
        </row>
        <row r="421">
          <cell r="C421">
            <v>24601</v>
          </cell>
          <cell r="D421">
            <v>100</v>
          </cell>
          <cell r="E421">
            <v>1230050</v>
          </cell>
          <cell r="F421">
            <v>0</v>
          </cell>
          <cell r="G421">
            <v>1230050</v>
          </cell>
          <cell r="H421">
            <v>307300</v>
          </cell>
          <cell r="I421">
            <v>8019800</v>
          </cell>
        </row>
        <row r="422">
          <cell r="C422">
            <v>80500</v>
          </cell>
          <cell r="D422">
            <v>100</v>
          </cell>
          <cell r="E422">
            <v>80500000</v>
          </cell>
          <cell r="F422">
            <v>0</v>
          </cell>
          <cell r="G422">
            <v>80500000</v>
          </cell>
          <cell r="H422">
            <v>7797300</v>
          </cell>
          <cell r="I422">
            <v>124528100</v>
          </cell>
        </row>
        <row r="423">
          <cell r="C423">
            <v>287888</v>
          </cell>
          <cell r="D423">
            <v>100</v>
          </cell>
          <cell r="E423">
            <v>287888000</v>
          </cell>
          <cell r="F423">
            <v>0</v>
          </cell>
          <cell r="G423">
            <v>287888000</v>
          </cell>
          <cell r="H423">
            <v>8100000</v>
          </cell>
          <cell r="I423">
            <v>378828000</v>
          </cell>
        </row>
        <row r="424">
          <cell r="C424">
            <v>301317</v>
          </cell>
          <cell r="D424">
            <v>100</v>
          </cell>
          <cell r="E424">
            <v>301317000</v>
          </cell>
          <cell r="F424">
            <v>0</v>
          </cell>
          <cell r="G424">
            <v>301317000</v>
          </cell>
          <cell r="H424">
            <v>4144200</v>
          </cell>
          <cell r="I424">
            <v>324374700</v>
          </cell>
        </row>
        <row r="425">
          <cell r="C425">
            <v>2939550</v>
          </cell>
          <cell r="D425">
            <v>100</v>
          </cell>
          <cell r="E425">
            <v>1469775000</v>
          </cell>
          <cell r="F425">
            <v>0</v>
          </cell>
          <cell r="G425">
            <v>1469775000</v>
          </cell>
          <cell r="H425">
            <v>10756538.41</v>
          </cell>
          <cell r="I425">
            <v>2016062035.55</v>
          </cell>
        </row>
        <row r="426">
          <cell r="C426">
            <v>6600</v>
          </cell>
          <cell r="D426">
            <v>100</v>
          </cell>
          <cell r="E426">
            <v>3300000</v>
          </cell>
          <cell r="F426">
            <v>0</v>
          </cell>
          <cell r="G426">
            <v>3300000</v>
          </cell>
          <cell r="H426">
            <v>220751.69</v>
          </cell>
          <cell r="I426">
            <v>5433960.1900000004</v>
          </cell>
        </row>
        <row r="427">
          <cell r="C427">
            <v>3650</v>
          </cell>
          <cell r="D427">
            <v>100</v>
          </cell>
          <cell r="E427">
            <v>3650000</v>
          </cell>
          <cell r="F427">
            <v>0</v>
          </cell>
          <cell r="G427">
            <v>3650000</v>
          </cell>
          <cell r="H427">
            <v>-19764.87</v>
          </cell>
          <cell r="I427">
            <v>25690715.399999999</v>
          </cell>
        </row>
        <row r="428">
          <cell r="C428">
            <v>24520</v>
          </cell>
          <cell r="D428">
            <v>100</v>
          </cell>
          <cell r="E428">
            <v>24520000</v>
          </cell>
          <cell r="F428">
            <v>0</v>
          </cell>
          <cell r="G428">
            <v>24520000</v>
          </cell>
          <cell r="H428">
            <v>3038501.93</v>
          </cell>
          <cell r="I428">
            <v>45674355.409999996</v>
          </cell>
        </row>
        <row r="429">
          <cell r="C429">
            <v>63465</v>
          </cell>
          <cell r="D429">
            <v>100</v>
          </cell>
          <cell r="E429">
            <v>63465000</v>
          </cell>
          <cell r="F429">
            <v>0</v>
          </cell>
          <cell r="G429">
            <v>63465000</v>
          </cell>
          <cell r="H429">
            <v>5493492.1699999999</v>
          </cell>
          <cell r="I429">
            <v>71262744.120000005</v>
          </cell>
        </row>
        <row r="430">
          <cell r="C430">
            <v>23062</v>
          </cell>
          <cell r="D430">
            <v>100</v>
          </cell>
          <cell r="E430">
            <v>23062000</v>
          </cell>
          <cell r="F430">
            <v>2552997.44</v>
          </cell>
          <cell r="G430">
            <v>20509002.559999999</v>
          </cell>
          <cell r="H430">
            <v>-13481707.220000001</v>
          </cell>
          <cell r="I430">
            <v>20509002.559999999</v>
          </cell>
        </row>
        <row r="431">
          <cell r="C431">
            <v>33437</v>
          </cell>
          <cell r="D431">
            <v>100</v>
          </cell>
          <cell r="E431">
            <v>33437000</v>
          </cell>
          <cell r="F431">
            <v>29442782.050000001</v>
          </cell>
          <cell r="G431">
            <v>3994217.95</v>
          </cell>
          <cell r="H431">
            <v>-41873936.530000001</v>
          </cell>
          <cell r="I431">
            <v>3994217.95</v>
          </cell>
        </row>
        <row r="433">
          <cell r="C433">
            <v>100</v>
          </cell>
          <cell r="D433">
            <v>100</v>
          </cell>
          <cell r="E433">
            <v>50000</v>
          </cell>
          <cell r="F433">
            <v>50000</v>
          </cell>
          <cell r="G433">
            <v>0</v>
          </cell>
        </row>
        <row r="434">
          <cell r="C434">
            <v>16000</v>
          </cell>
          <cell r="D434">
            <v>40.22</v>
          </cell>
          <cell r="E434">
            <v>16000000</v>
          </cell>
          <cell r="F434">
            <v>7946992.4299999997</v>
          </cell>
          <cell r="G434">
            <v>8053007.5700000003</v>
          </cell>
          <cell r="H434">
            <v>-41900</v>
          </cell>
          <cell r="I434">
            <v>20023300</v>
          </cell>
        </row>
        <row r="435">
          <cell r="C435">
            <v>2795</v>
          </cell>
          <cell r="E435">
            <v>120219.86</v>
          </cell>
          <cell r="F435">
            <v>-58776.89</v>
          </cell>
          <cell r="G435">
            <v>178996.75</v>
          </cell>
        </row>
        <row r="436">
          <cell r="C436">
            <v>4600</v>
          </cell>
          <cell r="D436">
            <v>100</v>
          </cell>
          <cell r="E436">
            <v>2300000</v>
          </cell>
          <cell r="F436">
            <v>143400</v>
          </cell>
          <cell r="G436">
            <v>2156600</v>
          </cell>
          <cell r="H436">
            <v>-1490000</v>
          </cell>
          <cell r="I436">
            <v>2156600</v>
          </cell>
        </row>
        <row r="437">
          <cell r="C437">
            <v>19385</v>
          </cell>
          <cell r="D437">
            <v>100</v>
          </cell>
          <cell r="E437">
            <v>19385000</v>
          </cell>
          <cell r="F437">
            <v>4347703.1100000003</v>
          </cell>
          <cell r="G437">
            <v>15037296.890000001</v>
          </cell>
          <cell r="H437">
            <v>-373284.91</v>
          </cell>
          <cell r="I437">
            <v>15037296.890000001</v>
          </cell>
        </row>
        <row r="438">
          <cell r="C438">
            <v>5600</v>
          </cell>
          <cell r="D438">
            <v>100</v>
          </cell>
          <cell r="E438">
            <v>5600000</v>
          </cell>
          <cell r="F438">
            <v>0</v>
          </cell>
          <cell r="G438">
            <v>5600000</v>
          </cell>
          <cell r="H438">
            <v>-2758009.74</v>
          </cell>
          <cell r="I438">
            <v>15090766.32</v>
          </cell>
        </row>
        <row r="439">
          <cell r="C439">
            <v>24801</v>
          </cell>
          <cell r="D439">
            <v>100</v>
          </cell>
          <cell r="E439">
            <v>24801000</v>
          </cell>
          <cell r="F439">
            <v>21593721.629999999</v>
          </cell>
          <cell r="G439">
            <v>3207278.37</v>
          </cell>
          <cell r="H439">
            <v>-29653750.609999999</v>
          </cell>
          <cell r="I439">
            <v>3207278.37</v>
          </cell>
        </row>
        <row r="440">
          <cell r="C440">
            <v>50</v>
          </cell>
          <cell r="D440">
            <v>100</v>
          </cell>
          <cell r="E440">
            <v>5000</v>
          </cell>
          <cell r="F440">
            <v>4943.16</v>
          </cell>
          <cell r="G440">
            <v>56.84</v>
          </cell>
        </row>
        <row r="441">
          <cell r="C441">
            <v>360</v>
          </cell>
          <cell r="D441">
            <v>36</v>
          </cell>
          <cell r="E441">
            <v>18000</v>
          </cell>
          <cell r="F441">
            <v>18000</v>
          </cell>
          <cell r="G441">
            <v>0</v>
          </cell>
        </row>
        <row r="444">
          <cell r="C444">
            <v>10406</v>
          </cell>
          <cell r="D444">
            <v>100</v>
          </cell>
          <cell r="E444">
            <v>520300</v>
          </cell>
          <cell r="F444">
            <v>0</v>
          </cell>
          <cell r="G444">
            <v>520300</v>
          </cell>
          <cell r="H444">
            <v>145864.10999999999</v>
          </cell>
          <cell r="I444">
            <v>1914483.55</v>
          </cell>
        </row>
        <row r="445">
          <cell r="C445">
            <v>657835</v>
          </cell>
          <cell r="D445">
            <v>100</v>
          </cell>
          <cell r="E445">
            <v>328917500</v>
          </cell>
          <cell r="F445">
            <v>0</v>
          </cell>
          <cell r="G445">
            <v>328917500</v>
          </cell>
          <cell r="H445">
            <v>925257.29</v>
          </cell>
          <cell r="I445">
            <v>660692358.27999997</v>
          </cell>
        </row>
        <row r="446">
          <cell r="C446">
            <v>585616</v>
          </cell>
          <cell r="D446">
            <v>100</v>
          </cell>
          <cell r="E446">
            <v>292808000</v>
          </cell>
          <cell r="F446">
            <v>0</v>
          </cell>
          <cell r="G446">
            <v>292808000</v>
          </cell>
          <cell r="H446">
            <v>-41401961.18</v>
          </cell>
          <cell r="I446">
            <v>704028218.19000006</v>
          </cell>
        </row>
        <row r="447">
          <cell r="C447">
            <v>361739</v>
          </cell>
          <cell r="D447">
            <v>100</v>
          </cell>
          <cell r="E447">
            <v>180869500</v>
          </cell>
          <cell r="F447">
            <v>0</v>
          </cell>
          <cell r="G447">
            <v>180869500</v>
          </cell>
          <cell r="H447">
            <v>6029410.3300000001</v>
          </cell>
          <cell r="I447">
            <v>287739351.24000001</v>
          </cell>
        </row>
        <row r="449">
          <cell r="C449">
            <v>27345751</v>
          </cell>
          <cell r="D449">
            <v>100</v>
          </cell>
          <cell r="E449">
            <v>2734575100</v>
          </cell>
          <cell r="F449">
            <v>0</v>
          </cell>
          <cell r="G449">
            <v>2734575100</v>
          </cell>
          <cell r="H449">
            <v>-99679189.819999993</v>
          </cell>
          <cell r="I449">
            <v>4521469471.0299997</v>
          </cell>
        </row>
        <row r="450">
          <cell r="C450">
            <v>1133516</v>
          </cell>
          <cell r="D450">
            <v>100</v>
          </cell>
          <cell r="E450">
            <v>566758000</v>
          </cell>
          <cell r="F450">
            <v>0</v>
          </cell>
          <cell r="G450">
            <v>566758000</v>
          </cell>
          <cell r="H450">
            <v>2737625.4</v>
          </cell>
          <cell r="I450">
            <v>762707269.16999996</v>
          </cell>
        </row>
        <row r="451">
          <cell r="C451">
            <v>10000</v>
          </cell>
          <cell r="D451">
            <v>100</v>
          </cell>
          <cell r="E451">
            <v>5000000</v>
          </cell>
          <cell r="F451">
            <v>0</v>
          </cell>
          <cell r="G451">
            <v>5000000</v>
          </cell>
          <cell r="H451">
            <v>2778632.62</v>
          </cell>
          <cell r="I451">
            <v>25602832.940000001</v>
          </cell>
        </row>
        <row r="452">
          <cell r="C452">
            <v>24601</v>
          </cell>
          <cell r="D452">
            <v>100</v>
          </cell>
          <cell r="E452">
            <v>1230050</v>
          </cell>
          <cell r="F452">
            <v>0</v>
          </cell>
          <cell r="G452">
            <v>1230050</v>
          </cell>
          <cell r="H452">
            <v>509297.94</v>
          </cell>
          <cell r="I452">
            <v>7712522.6900000004</v>
          </cell>
        </row>
        <row r="453">
          <cell r="C453">
            <v>80500</v>
          </cell>
          <cell r="D453">
            <v>100</v>
          </cell>
          <cell r="E453">
            <v>80500000</v>
          </cell>
          <cell r="F453">
            <v>0</v>
          </cell>
          <cell r="G453">
            <v>80500000</v>
          </cell>
          <cell r="H453">
            <v>470914.08</v>
          </cell>
          <cell r="I453">
            <v>116730763.02</v>
          </cell>
        </row>
        <row r="454">
          <cell r="C454">
            <v>229769</v>
          </cell>
          <cell r="D454">
            <v>100</v>
          </cell>
          <cell r="E454">
            <v>229769000</v>
          </cell>
          <cell r="F454">
            <v>0</v>
          </cell>
          <cell r="G454">
            <v>229769000</v>
          </cell>
          <cell r="H454">
            <v>7427687.3799999999</v>
          </cell>
          <cell r="I454">
            <v>304608692</v>
          </cell>
        </row>
        <row r="455">
          <cell r="C455">
            <v>191261</v>
          </cell>
          <cell r="D455">
            <v>100</v>
          </cell>
          <cell r="E455">
            <v>191261000</v>
          </cell>
          <cell r="F455">
            <v>0</v>
          </cell>
          <cell r="G455">
            <v>191261000</v>
          </cell>
          <cell r="H455">
            <v>1256544.1299999999</v>
          </cell>
          <cell r="I455">
            <v>252677585.22</v>
          </cell>
        </row>
        <row r="456">
          <cell r="C456">
            <v>2556550</v>
          </cell>
          <cell r="D456">
            <v>100</v>
          </cell>
          <cell r="E456">
            <v>1278275000</v>
          </cell>
          <cell r="F456">
            <v>0</v>
          </cell>
          <cell r="G456">
            <v>1278275000</v>
          </cell>
          <cell r="H456">
            <v>11098829.140000001</v>
          </cell>
          <cell r="I456">
            <v>1653805497.1400001</v>
          </cell>
        </row>
        <row r="457">
          <cell r="C457">
            <v>6600</v>
          </cell>
          <cell r="D457">
            <v>100</v>
          </cell>
          <cell r="E457">
            <v>3300000</v>
          </cell>
          <cell r="F457">
            <v>0</v>
          </cell>
          <cell r="G457">
            <v>3300000</v>
          </cell>
          <cell r="H457">
            <v>211558.55</v>
          </cell>
          <cell r="I457">
            <v>5213208.5</v>
          </cell>
        </row>
        <row r="458">
          <cell r="C458">
            <v>3650</v>
          </cell>
          <cell r="D458">
            <v>100</v>
          </cell>
          <cell r="E458">
            <v>3650000</v>
          </cell>
          <cell r="F458">
            <v>0</v>
          </cell>
          <cell r="G458">
            <v>3650000</v>
          </cell>
          <cell r="H458">
            <v>266943</v>
          </cell>
          <cell r="I458">
            <v>21717749.379999999</v>
          </cell>
        </row>
        <row r="459">
          <cell r="C459">
            <v>24520</v>
          </cell>
          <cell r="D459">
            <v>100</v>
          </cell>
          <cell r="E459">
            <v>24520000</v>
          </cell>
          <cell r="F459">
            <v>0</v>
          </cell>
          <cell r="G459">
            <v>24520000</v>
          </cell>
          <cell r="H459">
            <v>-3585186.34</v>
          </cell>
          <cell r="I459">
            <v>42196339.560000002</v>
          </cell>
        </row>
        <row r="460">
          <cell r="C460">
            <v>63465</v>
          </cell>
          <cell r="D460">
            <v>100</v>
          </cell>
          <cell r="E460">
            <v>63465000</v>
          </cell>
          <cell r="F460">
            <v>0</v>
          </cell>
          <cell r="G460">
            <v>63465000</v>
          </cell>
          <cell r="H460">
            <v>1430922.29</v>
          </cell>
          <cell r="I460">
            <v>65769251.950000003</v>
          </cell>
        </row>
        <row r="461">
          <cell r="C461">
            <v>22505</v>
          </cell>
          <cell r="D461">
            <v>100</v>
          </cell>
          <cell r="E461">
            <v>22505000</v>
          </cell>
          <cell r="F461">
            <v>0</v>
          </cell>
          <cell r="G461">
            <v>22505000</v>
          </cell>
          <cell r="H461">
            <v>-10126264.16</v>
          </cell>
          <cell r="I461">
            <v>24757706.969999999</v>
          </cell>
        </row>
        <row r="462">
          <cell r="C462">
            <v>3100</v>
          </cell>
          <cell r="D462">
            <v>100</v>
          </cell>
          <cell r="E462">
            <v>3100000</v>
          </cell>
          <cell r="F462">
            <v>0</v>
          </cell>
          <cell r="G462">
            <v>3100000</v>
          </cell>
          <cell r="H462">
            <v>3367234.77</v>
          </cell>
          <cell r="I462">
            <v>17848776.059999999</v>
          </cell>
        </row>
        <row r="463">
          <cell r="C463">
            <v>21801</v>
          </cell>
          <cell r="D463">
            <v>100</v>
          </cell>
          <cell r="E463">
            <v>21801000</v>
          </cell>
          <cell r="F463">
            <v>85091.02</v>
          </cell>
          <cell r="G463">
            <v>21715908.98</v>
          </cell>
          <cell r="H463">
            <v>-21113678.890000001</v>
          </cell>
          <cell r="I463">
            <v>21715908.98</v>
          </cell>
        </row>
        <row r="464">
          <cell r="C464">
            <v>33422</v>
          </cell>
          <cell r="D464">
            <v>100</v>
          </cell>
          <cell r="E464">
            <v>33422000</v>
          </cell>
          <cell r="F464">
            <v>33053845.52</v>
          </cell>
          <cell r="G464">
            <v>368154.48</v>
          </cell>
          <cell r="H464">
            <v>-43005287.789999999</v>
          </cell>
          <cell r="I464">
            <v>368154.48</v>
          </cell>
        </row>
        <row r="465">
          <cell r="C465">
            <v>20111</v>
          </cell>
          <cell r="D465">
            <v>100</v>
          </cell>
          <cell r="E465">
            <v>20111000</v>
          </cell>
          <cell r="F465">
            <v>984868.06</v>
          </cell>
          <cell r="G465">
            <v>19126131.940000001</v>
          </cell>
          <cell r="H465">
            <v>20670.02</v>
          </cell>
          <cell r="I465">
            <v>19126131.940000001</v>
          </cell>
        </row>
        <row r="466">
          <cell r="C466">
            <v>100</v>
          </cell>
          <cell r="D466">
            <v>100</v>
          </cell>
          <cell r="E466">
            <v>50000</v>
          </cell>
          <cell r="F466">
            <v>50000</v>
          </cell>
          <cell r="G466">
            <v>0</v>
          </cell>
        </row>
        <row r="467">
          <cell r="C467">
            <v>16000</v>
          </cell>
          <cell r="D467">
            <v>40.22</v>
          </cell>
          <cell r="E467">
            <v>16000000</v>
          </cell>
          <cell r="F467">
            <v>7930122.0700000003</v>
          </cell>
          <cell r="G467">
            <v>8069877.9299999997</v>
          </cell>
          <cell r="H467">
            <v>-356234.76</v>
          </cell>
          <cell r="I467">
            <v>20065247.109999999</v>
          </cell>
        </row>
        <row r="468">
          <cell r="C468">
            <v>2795</v>
          </cell>
          <cell r="E468">
            <v>120241.86</v>
          </cell>
          <cell r="F468">
            <v>-84682.79</v>
          </cell>
          <cell r="G468">
            <v>204924.65</v>
          </cell>
        </row>
        <row r="469">
          <cell r="C469">
            <v>4600</v>
          </cell>
          <cell r="D469">
            <v>100</v>
          </cell>
          <cell r="E469">
            <v>2300000</v>
          </cell>
          <cell r="F469">
            <v>0</v>
          </cell>
          <cell r="G469">
            <v>2300000</v>
          </cell>
          <cell r="H469">
            <v>-1544700.43</v>
          </cell>
          <cell r="I469">
            <v>3646619.32</v>
          </cell>
        </row>
        <row r="470">
          <cell r="C470">
            <v>19375</v>
          </cell>
          <cell r="D470">
            <v>100</v>
          </cell>
          <cell r="E470">
            <v>19375000</v>
          </cell>
          <cell r="F470">
            <v>13214418.199999999</v>
          </cell>
          <cell r="G470">
            <v>6160581.7999999998</v>
          </cell>
          <cell r="H470">
            <v>-14992389.09</v>
          </cell>
          <cell r="I470">
            <v>6160581.7999999998</v>
          </cell>
        </row>
      </sheetData>
      <sheetData sheetId="20"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C76">
            <v>1801887982.97</v>
          </cell>
          <cell r="D76">
            <v>1915489860</v>
          </cell>
          <cell r="E76">
            <v>24953752.489999998</v>
          </cell>
          <cell r="F76">
            <v>977461028.5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C78">
            <v>525780081.95999998</v>
          </cell>
          <cell r="D78">
            <v>489877149.56</v>
          </cell>
          <cell r="E78">
            <v>2448260.9500000002</v>
          </cell>
          <cell r="F78">
            <v>455810070.05000001</v>
          </cell>
        </row>
      </sheetData>
      <sheetData sheetId="21"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C148">
            <v>199188959.56</v>
          </cell>
          <cell r="D148">
            <v>6938532</v>
          </cell>
          <cell r="E148">
            <v>7859748.1799999997</v>
          </cell>
          <cell r="F148">
            <v>862850</v>
          </cell>
        </row>
        <row r="149">
          <cell r="C149">
            <v>1597057</v>
          </cell>
          <cell r="D149">
            <v>67500</v>
          </cell>
          <cell r="E149">
            <v>0</v>
          </cell>
          <cell r="F149">
            <v>0</v>
          </cell>
        </row>
        <row r="150">
          <cell r="C150">
            <v>44218797.079999998</v>
          </cell>
          <cell r="D150">
            <v>10731568.949999999</v>
          </cell>
          <cell r="E150">
            <v>0</v>
          </cell>
          <cell r="F150">
            <v>254000</v>
          </cell>
        </row>
        <row r="151">
          <cell r="C151">
            <v>494636478.38999999</v>
          </cell>
          <cell r="D151">
            <v>141303838.28999999</v>
          </cell>
          <cell r="E151">
            <v>127740.81</v>
          </cell>
          <cell r="F151">
            <v>16352374.99</v>
          </cell>
        </row>
        <row r="152">
          <cell r="C152">
            <v>19216176.140000001</v>
          </cell>
          <cell r="D152">
            <v>2435216.38</v>
          </cell>
          <cell r="E152">
            <v>2036284.7</v>
          </cell>
          <cell r="F152">
            <v>499654.51</v>
          </cell>
        </row>
        <row r="153">
          <cell r="C153">
            <v>899061</v>
          </cell>
          <cell r="D153">
            <v>5911600</v>
          </cell>
          <cell r="E153">
            <v>202155</v>
          </cell>
          <cell r="F153">
            <v>0</v>
          </cell>
        </row>
        <row r="154">
          <cell r="C154">
            <v>157083380.93000001</v>
          </cell>
          <cell r="D154">
            <v>21687997.890000001</v>
          </cell>
          <cell r="E154">
            <v>15105</v>
          </cell>
          <cell r="F154">
            <v>3820780.02</v>
          </cell>
        </row>
        <row r="155">
          <cell r="C155">
            <v>916543091.61000001</v>
          </cell>
          <cell r="D155">
            <v>249936177.18000001</v>
          </cell>
          <cell r="E155">
            <v>943285.64</v>
          </cell>
          <cell r="F155">
            <v>164074689.53</v>
          </cell>
        </row>
      </sheetData>
      <sheetData sheetId="22"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76">
          <cell r="B76">
            <v>15666.239999999991</v>
          </cell>
          <cell r="C76">
            <v>10036.940000000002</v>
          </cell>
        </row>
        <row r="77">
          <cell r="B77">
            <v>114738.13</v>
          </cell>
          <cell r="C77">
            <v>13904.5</v>
          </cell>
        </row>
        <row r="78">
          <cell r="B78">
            <v>112817.85</v>
          </cell>
          <cell r="C78">
            <v>106379.15</v>
          </cell>
        </row>
        <row r="80">
          <cell r="B80">
            <v>55821.74</v>
          </cell>
          <cell r="C80">
            <v>106825.88</v>
          </cell>
        </row>
        <row r="81">
          <cell r="B81">
            <v>42025.58</v>
          </cell>
          <cell r="C81">
            <v>80319.570000000007</v>
          </cell>
        </row>
        <row r="82">
          <cell r="B82">
            <v>215063.38</v>
          </cell>
          <cell r="C82">
            <v>94660.46</v>
          </cell>
        </row>
      </sheetData>
      <sheetData sheetId="23"/>
      <sheetData sheetId="24"/>
      <sheetData sheetId="25"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0</v>
          </cell>
          <cell r="C51">
            <v>0</v>
          </cell>
        </row>
        <row r="52">
          <cell r="B52">
            <v>0</v>
          </cell>
          <cell r="C52">
            <v>0</v>
          </cell>
        </row>
        <row r="62">
          <cell r="B62">
            <v>9459459.4000000004</v>
          </cell>
          <cell r="C62">
            <v>424906110.67000002</v>
          </cell>
        </row>
      </sheetData>
      <sheetData sheetId="26">
        <row r="47">
          <cell r="C47">
            <v>0</v>
          </cell>
          <cell r="D47">
            <v>0</v>
          </cell>
        </row>
        <row r="99">
          <cell r="C99">
            <v>0</v>
          </cell>
          <cell r="D99">
            <v>0</v>
          </cell>
        </row>
        <row r="147">
          <cell r="C147">
            <v>23090</v>
          </cell>
          <cell r="D147">
            <v>17990</v>
          </cell>
        </row>
        <row r="149">
          <cell r="C149">
            <v>2861001820</v>
          </cell>
          <cell r="D149">
            <v>2600387160</v>
          </cell>
        </row>
        <row r="150">
          <cell r="C150">
            <v>6072334</v>
          </cell>
          <cell r="D150">
            <v>11085938.300000001</v>
          </cell>
        </row>
        <row r="151">
          <cell r="C151">
            <v>0</v>
          </cell>
          <cell r="D151">
            <v>0</v>
          </cell>
        </row>
        <row r="152">
          <cell r="C152">
            <v>0</v>
          </cell>
          <cell r="D152">
            <v>0</v>
          </cell>
        </row>
        <row r="153">
          <cell r="C153">
            <v>4530310</v>
          </cell>
          <cell r="D153">
            <v>924790</v>
          </cell>
        </row>
        <row r="154">
          <cell r="C154">
            <v>195096126.97</v>
          </cell>
          <cell r="D154">
            <v>145120099.94999999</v>
          </cell>
        </row>
        <row r="155">
          <cell r="C155">
            <v>9694404.5500000007</v>
          </cell>
          <cell r="D155">
            <v>5880605.71</v>
          </cell>
        </row>
      </sheetData>
      <sheetData sheetId="27">
        <row r="43">
          <cell r="B43">
            <v>0</v>
          </cell>
          <cell r="C43">
            <v>0</v>
          </cell>
        </row>
        <row r="45">
          <cell r="B45">
            <v>0</v>
          </cell>
          <cell r="C45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85">
          <cell r="B85">
            <v>0</v>
          </cell>
          <cell r="C85">
            <v>0</v>
          </cell>
        </row>
        <row r="90">
          <cell r="C90">
            <v>0</v>
          </cell>
        </row>
        <row r="100">
          <cell r="B100">
            <v>0</v>
          </cell>
          <cell r="C100">
            <v>0</v>
          </cell>
        </row>
        <row r="102">
          <cell r="B102">
            <v>77432.509999999995</v>
          </cell>
          <cell r="C102">
            <v>58559.56</v>
          </cell>
        </row>
        <row r="104">
          <cell r="B104">
            <v>2027280.09</v>
          </cell>
          <cell r="C104">
            <v>4303470.6900000004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9">
          <cell r="B109">
            <v>1908864.42</v>
          </cell>
          <cell r="C109">
            <v>1047220.47</v>
          </cell>
        </row>
        <row r="111">
          <cell r="B111">
            <v>0</v>
          </cell>
          <cell r="C111">
            <v>0</v>
          </cell>
        </row>
        <row r="112">
          <cell r="B112">
            <v>2019419.62</v>
          </cell>
          <cell r="C112">
            <v>4489486.66</v>
          </cell>
        </row>
        <row r="113">
          <cell r="B113">
            <v>21539.15</v>
          </cell>
          <cell r="C113">
            <v>18872.95</v>
          </cell>
        </row>
        <row r="115">
          <cell r="B115">
            <v>35563439.520000003</v>
          </cell>
          <cell r="C115">
            <v>35056670.490000002</v>
          </cell>
        </row>
        <row r="116">
          <cell r="B116">
            <v>32286.62</v>
          </cell>
          <cell r="C116">
            <v>48113.760000000002</v>
          </cell>
        </row>
        <row r="117">
          <cell r="B117">
            <v>36755.06</v>
          </cell>
          <cell r="C117">
            <v>8535007.0600000005</v>
          </cell>
        </row>
        <row r="118">
          <cell r="B118">
            <v>146843.37</v>
          </cell>
          <cell r="C118">
            <v>149007.32999999999</v>
          </cell>
        </row>
        <row r="119">
          <cell r="B119">
            <v>0</v>
          </cell>
        </row>
        <row r="120">
          <cell r="B120">
            <v>1740598.75</v>
          </cell>
          <cell r="C120">
            <v>1673340.19</v>
          </cell>
        </row>
      </sheetData>
      <sheetData sheetId="28">
        <row r="70">
          <cell r="B70">
            <v>0</v>
          </cell>
          <cell r="C70">
            <v>0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110">
          <cell r="B110">
            <v>117324055.54000001</v>
          </cell>
          <cell r="C110">
            <v>121418786.23999999</v>
          </cell>
        </row>
        <row r="111">
          <cell r="B111">
            <v>429033</v>
          </cell>
          <cell r="C111">
            <v>0</v>
          </cell>
        </row>
        <row r="112">
          <cell r="B112">
            <v>6847728.7699999996</v>
          </cell>
          <cell r="C112">
            <v>5105865.0999999996</v>
          </cell>
        </row>
        <row r="113">
          <cell r="B113">
            <v>80509.17</v>
          </cell>
          <cell r="C113">
            <v>0</v>
          </cell>
        </row>
        <row r="114">
          <cell r="B114">
            <v>0</v>
          </cell>
          <cell r="C114">
            <v>506745.72</v>
          </cell>
        </row>
        <row r="115">
          <cell r="B115">
            <v>0</v>
          </cell>
          <cell r="C115">
            <v>0</v>
          </cell>
        </row>
        <row r="116">
          <cell r="B116">
            <v>27614414.039999999</v>
          </cell>
          <cell r="C116">
            <v>23973851.41</v>
          </cell>
        </row>
        <row r="117">
          <cell r="B117">
            <v>0</v>
          </cell>
          <cell r="C117">
            <v>0</v>
          </cell>
        </row>
      </sheetData>
      <sheetData sheetId="29">
        <row r="41">
          <cell r="C41">
            <v>291785427.11000001</v>
          </cell>
          <cell r="D41">
            <v>321796315.69</v>
          </cell>
        </row>
      </sheetData>
      <sheetData sheetId="30">
        <row r="33">
          <cell r="C33">
            <v>29688470.690000001</v>
          </cell>
          <cell r="D33">
            <v>34572405.270000003</v>
          </cell>
        </row>
      </sheetData>
      <sheetData sheetId="31">
        <row r="90">
          <cell r="B90">
            <v>6124202691.8599997</v>
          </cell>
          <cell r="C90">
            <v>0</v>
          </cell>
          <cell r="D90">
            <v>0</v>
          </cell>
          <cell r="E90">
            <v>67137432.420000002</v>
          </cell>
          <cell r="F90">
            <v>0</v>
          </cell>
          <cell r="G90">
            <v>0</v>
          </cell>
          <cell r="H90">
            <v>0</v>
          </cell>
        </row>
        <row r="92">
          <cell r="B92">
            <v>591975000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8">
          <cell r="B98">
            <v>99794153.939999998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984868.06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4">
          <cell r="B104">
            <v>55233662.079999998</v>
          </cell>
          <cell r="C104">
            <v>0</v>
          </cell>
          <cell r="D104">
            <v>0</v>
          </cell>
          <cell r="E104">
            <v>51681962.789999999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24272163.469999999</v>
          </cell>
          <cell r="C105">
            <v>0</v>
          </cell>
          <cell r="D105">
            <v>0</v>
          </cell>
          <cell r="E105">
            <v>2959968.4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13464062.619999999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</sheetData>
      <sheetData sheetId="32">
        <row r="90">
          <cell r="B90">
            <v>6486580.5300000003</v>
          </cell>
          <cell r="C90">
            <v>11350725.470000001</v>
          </cell>
        </row>
        <row r="91">
          <cell r="B91">
            <v>62483697.159999996</v>
          </cell>
          <cell r="C91">
            <v>116302933.90000001</v>
          </cell>
        </row>
        <row r="92">
          <cell r="B92">
            <v>202.27</v>
          </cell>
          <cell r="C92">
            <v>129.99</v>
          </cell>
        </row>
        <row r="95">
          <cell r="B95">
            <v>609039321.52999997</v>
          </cell>
          <cell r="C95">
            <v>1503445297.71</v>
          </cell>
        </row>
        <row r="96">
          <cell r="B96">
            <v>604436285.37</v>
          </cell>
          <cell r="C96">
            <v>1496899157.8800001</v>
          </cell>
        </row>
        <row r="97">
          <cell r="B97">
            <v>6875635.2199999997</v>
          </cell>
          <cell r="C97">
            <v>8300975.79</v>
          </cell>
        </row>
        <row r="98">
          <cell r="B98">
            <v>241006511.17000002</v>
          </cell>
          <cell r="C98">
            <v>191247608.41</v>
          </cell>
        </row>
        <row r="99">
          <cell r="B99">
            <v>22270</v>
          </cell>
          <cell r="C99">
            <v>22270</v>
          </cell>
        </row>
        <row r="100">
          <cell r="B100">
            <v>98084659.850000009</v>
          </cell>
          <cell r="C100">
            <v>90387015.920000002</v>
          </cell>
        </row>
        <row r="101">
          <cell r="B101">
            <v>0</v>
          </cell>
          <cell r="C101">
            <v>0</v>
          </cell>
        </row>
      </sheetData>
      <sheetData sheetId="33"/>
      <sheetData sheetId="34"/>
      <sheetData sheetId="35">
        <row r="153">
          <cell r="D153">
            <v>0</v>
          </cell>
          <cell r="H153">
            <v>0</v>
          </cell>
        </row>
        <row r="167">
          <cell r="D167">
            <v>0</v>
          </cell>
          <cell r="H167">
            <v>0</v>
          </cell>
        </row>
        <row r="232">
          <cell r="D232">
            <v>231434.79</v>
          </cell>
          <cell r="H232">
            <v>539642.04</v>
          </cell>
        </row>
        <row r="234">
          <cell r="D234">
            <v>7574515.0800000001</v>
          </cell>
        </row>
        <row r="235">
          <cell r="D235">
            <v>352504561.51999998</v>
          </cell>
          <cell r="H235">
            <v>296896040.85000002</v>
          </cell>
        </row>
        <row r="236">
          <cell r="D236">
            <v>805138.21</v>
          </cell>
          <cell r="H236">
            <v>0</v>
          </cell>
        </row>
        <row r="246">
          <cell r="D246">
            <v>18715197.719999999</v>
          </cell>
          <cell r="H246">
            <v>1677281.2</v>
          </cell>
        </row>
        <row r="247">
          <cell r="D247">
            <v>135876104.63999999</v>
          </cell>
          <cell r="H247">
            <v>95650056.389999986</v>
          </cell>
        </row>
        <row r="248">
          <cell r="D248">
            <v>803755.02</v>
          </cell>
          <cell r="H248">
            <v>0</v>
          </cell>
        </row>
      </sheetData>
      <sheetData sheetId="36"/>
      <sheetData sheetId="37">
        <row r="190">
          <cell r="C190">
            <v>116579776.05</v>
          </cell>
          <cell r="D190">
            <v>128029199.40000001</v>
          </cell>
        </row>
        <row r="191">
          <cell r="C191">
            <v>250337338.49000001</v>
          </cell>
          <cell r="D191">
            <v>283410952.06999999</v>
          </cell>
        </row>
        <row r="192">
          <cell r="C192">
            <v>22631088.600000001</v>
          </cell>
          <cell r="D192">
            <v>20913392.280000001</v>
          </cell>
        </row>
        <row r="193">
          <cell r="C193">
            <v>0</v>
          </cell>
          <cell r="D193">
            <v>0</v>
          </cell>
        </row>
        <row r="194">
          <cell r="C194">
            <v>7367411.0999999996</v>
          </cell>
          <cell r="D194">
            <v>9778100.2699999996</v>
          </cell>
        </row>
        <row r="195">
          <cell r="C195">
            <v>0</v>
          </cell>
          <cell r="D195">
            <v>0</v>
          </cell>
        </row>
        <row r="196">
          <cell r="C196">
            <v>3183782.65</v>
          </cell>
          <cell r="D196">
            <v>1990443.87</v>
          </cell>
        </row>
        <row r="197">
          <cell r="C197">
            <v>8947472.4600000009</v>
          </cell>
          <cell r="D197">
            <v>26995019.510000002</v>
          </cell>
        </row>
        <row r="198">
          <cell r="C198">
            <v>27303.040000000001</v>
          </cell>
          <cell r="D198">
            <v>31679.439999999999</v>
          </cell>
        </row>
        <row r="199">
          <cell r="C199">
            <v>0</v>
          </cell>
          <cell r="D199">
            <v>0</v>
          </cell>
        </row>
        <row r="200">
          <cell r="C200">
            <v>805138.21</v>
          </cell>
          <cell r="D200">
            <v>0</v>
          </cell>
        </row>
        <row r="201">
          <cell r="C201">
            <v>0</v>
          </cell>
          <cell r="D201">
            <v>0</v>
          </cell>
        </row>
        <row r="204">
          <cell r="C204">
            <v>1603614910.26</v>
          </cell>
          <cell r="D204">
            <v>1710849851.6300001</v>
          </cell>
        </row>
        <row r="205">
          <cell r="C205">
            <v>25073602.600000001</v>
          </cell>
          <cell r="D205">
            <v>52511367.299999997</v>
          </cell>
        </row>
        <row r="206">
          <cell r="C206">
            <v>817996894.76999998</v>
          </cell>
          <cell r="D206">
            <v>688441162.32000005</v>
          </cell>
        </row>
        <row r="207">
          <cell r="C207">
            <v>1823173</v>
          </cell>
          <cell r="D207">
            <v>1679830.59</v>
          </cell>
        </row>
        <row r="208">
          <cell r="C208">
            <v>3409.8</v>
          </cell>
          <cell r="D208">
            <v>1264.5899999999999</v>
          </cell>
        </row>
        <row r="209">
          <cell r="C209">
            <v>138787132.69999999</v>
          </cell>
          <cell r="D209">
            <v>145550502.83000001</v>
          </cell>
        </row>
        <row r="210">
          <cell r="C210">
            <v>195121671.73000002</v>
          </cell>
          <cell r="D210">
            <v>188075400.02000001</v>
          </cell>
        </row>
        <row r="212">
          <cell r="C212">
            <v>5798725656</v>
          </cell>
          <cell r="D212">
            <v>9546707688</v>
          </cell>
        </row>
        <row r="213">
          <cell r="C213">
            <v>1918039079</v>
          </cell>
          <cell r="D213">
            <v>2595082416</v>
          </cell>
        </row>
        <row r="215">
          <cell r="C215">
            <v>1423513309.01</v>
          </cell>
          <cell r="D215">
            <v>1893023189.54</v>
          </cell>
        </row>
        <row r="216">
          <cell r="C216">
            <v>3707925443.4499998</v>
          </cell>
          <cell r="D216">
            <v>5265916716</v>
          </cell>
        </row>
        <row r="218">
          <cell r="C218">
            <v>136193267.38</v>
          </cell>
          <cell r="D218">
            <v>139069042.31999999</v>
          </cell>
        </row>
        <row r="219">
          <cell r="C219">
            <v>807327.21</v>
          </cell>
          <cell r="D219">
            <v>-351732.14</v>
          </cell>
        </row>
        <row r="220">
          <cell r="C220">
            <v>0</v>
          </cell>
          <cell r="D220">
            <v>0</v>
          </cell>
        </row>
        <row r="221">
          <cell r="C221">
            <v>0</v>
          </cell>
          <cell r="D221">
            <v>8207.33</v>
          </cell>
        </row>
        <row r="222">
          <cell r="C222">
            <v>18457502.84</v>
          </cell>
          <cell r="D222">
            <v>16924610.059999999</v>
          </cell>
        </row>
        <row r="223">
          <cell r="C223">
            <v>4873606.43</v>
          </cell>
          <cell r="D223">
            <v>9217936.5700000003</v>
          </cell>
        </row>
        <row r="224">
          <cell r="C224">
            <v>144742952.69999999</v>
          </cell>
          <cell r="D224">
            <v>166045266.66</v>
          </cell>
        </row>
        <row r="225">
          <cell r="C225">
            <v>74229939.040000007</v>
          </cell>
          <cell r="D225">
            <v>80729679.879999995</v>
          </cell>
        </row>
        <row r="226">
          <cell r="C226">
            <v>49911192.299999997</v>
          </cell>
          <cell r="D226">
            <v>57064792.18</v>
          </cell>
        </row>
        <row r="227">
          <cell r="C227">
            <v>22778856.48</v>
          </cell>
          <cell r="D227">
            <v>22340780.52</v>
          </cell>
        </row>
        <row r="228">
          <cell r="C228">
            <v>0</v>
          </cell>
          <cell r="D228">
            <v>0</v>
          </cell>
        </row>
        <row r="229">
          <cell r="C229">
            <v>8196312.1500000004</v>
          </cell>
          <cell r="D229">
            <v>9037015.6799999997</v>
          </cell>
        </row>
        <row r="230">
          <cell r="C230">
            <v>1178886871.1199999</v>
          </cell>
          <cell r="D230">
            <v>1061455121.33</v>
          </cell>
        </row>
        <row r="231">
          <cell r="C231">
            <v>801533708.40999997</v>
          </cell>
          <cell r="D231">
            <v>1101203927.46</v>
          </cell>
        </row>
      </sheetData>
      <sheetData sheetId="38">
        <row r="61">
          <cell r="C61">
            <v>160543178.13</v>
          </cell>
          <cell r="D61">
            <v>218628095.71000001</v>
          </cell>
        </row>
        <row r="62">
          <cell r="C62">
            <v>17504013.82</v>
          </cell>
          <cell r="D62">
            <v>11096264</v>
          </cell>
        </row>
        <row r="63">
          <cell r="C63">
            <v>814416213.84000003</v>
          </cell>
          <cell r="D63">
            <v>933231792.52999997</v>
          </cell>
        </row>
        <row r="64">
          <cell r="C64">
            <v>7231818.8399999999</v>
          </cell>
          <cell r="D64">
            <v>7684068.54</v>
          </cell>
        </row>
        <row r="65">
          <cell r="C65">
            <v>737105.48</v>
          </cell>
          <cell r="D65">
            <v>567355.99</v>
          </cell>
        </row>
        <row r="66">
          <cell r="C66">
            <v>1937765.02</v>
          </cell>
          <cell r="D66">
            <v>1951303.01</v>
          </cell>
        </row>
        <row r="67">
          <cell r="C67">
            <v>214360.53</v>
          </cell>
          <cell r="D67">
            <v>235979.51</v>
          </cell>
        </row>
        <row r="68">
          <cell r="C68">
            <v>10622233.57</v>
          </cell>
          <cell r="D68">
            <v>9246981.7400000002</v>
          </cell>
        </row>
        <row r="69">
          <cell r="C69">
            <v>51839739.829999998</v>
          </cell>
          <cell r="D69">
            <v>61423982.759999998</v>
          </cell>
        </row>
        <row r="70">
          <cell r="C70">
            <v>7367050.1399999997</v>
          </cell>
          <cell r="D70">
            <v>2554031.0699999998</v>
          </cell>
        </row>
      </sheetData>
      <sheetData sheetId="39">
        <row r="101">
          <cell r="D101">
            <v>330509044.72000003</v>
          </cell>
          <cell r="E101">
            <v>236175973.84</v>
          </cell>
        </row>
        <row r="102">
          <cell r="D102">
            <v>331194.84999999998</v>
          </cell>
          <cell r="E102">
            <v>210836.22</v>
          </cell>
        </row>
        <row r="103">
          <cell r="D103">
            <v>42173147.780000001</v>
          </cell>
          <cell r="E103">
            <v>44569937.259999998</v>
          </cell>
        </row>
        <row r="104">
          <cell r="D104">
            <v>1257024.68</v>
          </cell>
          <cell r="E104">
            <v>1747331.29</v>
          </cell>
        </row>
        <row r="106">
          <cell r="D106">
            <v>1892601.83</v>
          </cell>
          <cell r="E106">
            <v>2021822.51</v>
          </cell>
        </row>
        <row r="107">
          <cell r="D107">
            <v>0</v>
          </cell>
          <cell r="E107">
            <v>0</v>
          </cell>
        </row>
        <row r="108">
          <cell r="D108">
            <v>3655829.61</v>
          </cell>
          <cell r="E108">
            <v>11723970.01</v>
          </cell>
        </row>
        <row r="109">
          <cell r="D109">
            <v>2631.1</v>
          </cell>
          <cell r="E109">
            <v>30554.16</v>
          </cell>
        </row>
        <row r="110">
          <cell r="D110">
            <v>2897205.23</v>
          </cell>
          <cell r="E110">
            <v>643840.68999999994</v>
          </cell>
        </row>
        <row r="111">
          <cell r="D111">
            <v>197026079.84999999</v>
          </cell>
          <cell r="E111">
            <v>195342562.37</v>
          </cell>
        </row>
        <row r="112">
          <cell r="D112">
            <v>118253071.84999999</v>
          </cell>
          <cell r="E112">
            <v>122985261.17</v>
          </cell>
        </row>
        <row r="113">
          <cell r="D113">
            <v>0</v>
          </cell>
          <cell r="E113">
            <v>0</v>
          </cell>
        </row>
        <row r="114">
          <cell r="D114">
            <v>0</v>
          </cell>
          <cell r="E114">
            <v>0</v>
          </cell>
        </row>
        <row r="115">
          <cell r="D115">
            <v>100833015.65000001</v>
          </cell>
          <cell r="E115">
            <v>69607100.810000002</v>
          </cell>
        </row>
      </sheetData>
      <sheetData sheetId="40">
        <row r="76">
          <cell r="C76">
            <v>0</v>
          </cell>
          <cell r="D76">
            <v>0</v>
          </cell>
        </row>
        <row r="78">
          <cell r="C78">
            <v>497096.29</v>
          </cell>
          <cell r="D78">
            <v>869809.14</v>
          </cell>
        </row>
        <row r="80">
          <cell r="C80">
            <v>8610</v>
          </cell>
          <cell r="D80">
            <v>0</v>
          </cell>
        </row>
        <row r="81">
          <cell r="C81">
            <v>2959968.37</v>
          </cell>
          <cell r="D81">
            <v>2959968.4</v>
          </cell>
        </row>
        <row r="82">
          <cell r="C82">
            <v>336963046.22000003</v>
          </cell>
          <cell r="D82">
            <v>729818360.10000002</v>
          </cell>
        </row>
        <row r="85">
          <cell r="C85">
            <v>257984290.38999999</v>
          </cell>
          <cell r="D85">
            <v>362124401.25</v>
          </cell>
        </row>
        <row r="86">
          <cell r="C86">
            <v>13060212.48</v>
          </cell>
          <cell r="D86">
            <v>10673854.18</v>
          </cell>
        </row>
        <row r="87">
          <cell r="C87">
            <v>0</v>
          </cell>
          <cell r="D87">
            <v>0</v>
          </cell>
        </row>
        <row r="88">
          <cell r="C88">
            <v>80828940.129999995</v>
          </cell>
          <cell r="D88">
            <v>49865836.520000003</v>
          </cell>
        </row>
      </sheetData>
      <sheetData sheetId="41">
        <row r="82">
          <cell r="C82">
            <v>253758.2</v>
          </cell>
          <cell r="D82">
            <v>114285.42</v>
          </cell>
        </row>
        <row r="86">
          <cell r="C86">
            <v>264803166.22</v>
          </cell>
          <cell r="D86">
            <v>513438430.29000002</v>
          </cell>
        </row>
        <row r="87">
          <cell r="C87">
            <v>256867895.59999999</v>
          </cell>
          <cell r="D87">
            <v>185167747.97</v>
          </cell>
        </row>
        <row r="89">
          <cell r="C89">
            <v>0</v>
          </cell>
          <cell r="D89">
            <v>0</v>
          </cell>
        </row>
        <row r="90">
          <cell r="C90">
            <v>7084.26</v>
          </cell>
          <cell r="D90">
            <v>84.16</v>
          </cell>
        </row>
        <row r="91">
          <cell r="C91">
            <v>100897293.43000001</v>
          </cell>
          <cell r="D91">
            <v>109805447.52</v>
          </cell>
        </row>
        <row r="92">
          <cell r="C92">
            <v>0</v>
          </cell>
          <cell r="D92">
            <v>0</v>
          </cell>
        </row>
        <row r="93">
          <cell r="C93">
            <v>0</v>
          </cell>
          <cell r="D93">
            <v>0</v>
          </cell>
        </row>
        <row r="94">
          <cell r="C94">
            <v>2257498.5</v>
          </cell>
          <cell r="D94">
            <v>34584509.759999998</v>
          </cell>
        </row>
        <row r="95">
          <cell r="C95">
            <v>384618.51</v>
          </cell>
          <cell r="D95">
            <v>259598.68</v>
          </cell>
        </row>
      </sheetData>
      <sheetData sheetId="42">
        <row r="88">
          <cell r="C88">
            <v>177459870.08000001</v>
          </cell>
          <cell r="D88">
            <v>166512916</v>
          </cell>
        </row>
        <row r="89">
          <cell r="C89">
            <v>2100744.67</v>
          </cell>
          <cell r="D89">
            <v>7528373.2400000002</v>
          </cell>
        </row>
        <row r="93">
          <cell r="C93">
            <v>4912.95</v>
          </cell>
          <cell r="D93">
            <v>46539.59</v>
          </cell>
        </row>
        <row r="94">
          <cell r="C94">
            <v>9230483.3499999996</v>
          </cell>
          <cell r="D94">
            <v>11792968.91</v>
          </cell>
        </row>
        <row r="95">
          <cell r="C95">
            <v>310494361.07999998</v>
          </cell>
          <cell r="D95">
            <v>544053803.70000005</v>
          </cell>
        </row>
        <row r="96">
          <cell r="C96">
            <v>120608188.15000001</v>
          </cell>
          <cell r="D96">
            <v>55582047.520000003</v>
          </cell>
        </row>
        <row r="97">
          <cell r="C97">
            <v>430250.08</v>
          </cell>
          <cell r="D97">
            <v>1046044.3</v>
          </cell>
        </row>
        <row r="98">
          <cell r="C98">
            <v>535101283.58999997</v>
          </cell>
          <cell r="D98">
            <v>561486453.01999998</v>
          </cell>
        </row>
      </sheetData>
      <sheetData sheetId="43"/>
      <sheetData sheetId="44">
        <row r="11">
          <cell r="D11">
            <v>57200</v>
          </cell>
          <cell r="E11">
            <v>40168</v>
          </cell>
          <cell r="F11">
            <v>1057500</v>
          </cell>
        </row>
        <row r="12">
          <cell r="C12">
            <v>174873.4</v>
          </cell>
          <cell r="D12">
            <v>559471.11</v>
          </cell>
          <cell r="F12">
            <v>7458152.1299999999</v>
          </cell>
        </row>
        <row r="13">
          <cell r="C13">
            <v>0</v>
          </cell>
          <cell r="E13">
            <v>1784366.22</v>
          </cell>
          <cell r="F13">
            <v>2953.14</v>
          </cell>
        </row>
        <row r="14">
          <cell r="C14">
            <v>0</v>
          </cell>
          <cell r="D14">
            <v>35855470.710000001</v>
          </cell>
          <cell r="E14">
            <v>7524132.54</v>
          </cell>
          <cell r="F14">
            <v>701582484.45000005</v>
          </cell>
        </row>
        <row r="15">
          <cell r="E15">
            <v>4311902.51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18935</v>
          </cell>
          <cell r="F16">
            <v>2240.79</v>
          </cell>
        </row>
        <row r="17">
          <cell r="C17">
            <v>1110544.19</v>
          </cell>
          <cell r="D17">
            <v>9355653.9700000007</v>
          </cell>
          <cell r="E17">
            <v>98408552.430000007</v>
          </cell>
          <cell r="F17">
            <v>37946931.859999999</v>
          </cell>
        </row>
        <row r="18">
          <cell r="D18">
            <v>1000</v>
          </cell>
          <cell r="E18">
            <v>7047449.75</v>
          </cell>
          <cell r="F18">
            <v>2235328.2200000002</v>
          </cell>
        </row>
        <row r="19">
          <cell r="C19">
            <v>0</v>
          </cell>
          <cell r="D19">
            <v>0</v>
          </cell>
          <cell r="E19">
            <v>808494.83</v>
          </cell>
          <cell r="F19">
            <v>0</v>
          </cell>
        </row>
        <row r="21">
          <cell r="C21">
            <v>0</v>
          </cell>
          <cell r="D21">
            <v>0</v>
          </cell>
          <cell r="E21">
            <v>358688.92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43447</v>
          </cell>
          <cell r="F22">
            <v>3545366.16</v>
          </cell>
        </row>
        <row r="23">
          <cell r="C23">
            <v>0</v>
          </cell>
          <cell r="D23">
            <v>4729.8900000000003</v>
          </cell>
          <cell r="E23">
            <v>77279</v>
          </cell>
          <cell r="F23">
            <v>7296.99</v>
          </cell>
        </row>
        <row r="24">
          <cell r="C24">
            <v>0</v>
          </cell>
          <cell r="E24">
            <v>174533.61</v>
          </cell>
          <cell r="F24">
            <v>1068</v>
          </cell>
        </row>
        <row r="25">
          <cell r="C25">
            <v>0</v>
          </cell>
          <cell r="D25">
            <v>6500</v>
          </cell>
          <cell r="E25">
            <v>140079.44</v>
          </cell>
          <cell r="F25">
            <v>135500</v>
          </cell>
        </row>
        <row r="26">
          <cell r="C26">
            <v>0</v>
          </cell>
          <cell r="D26">
            <v>24108</v>
          </cell>
          <cell r="E26">
            <v>205804.06</v>
          </cell>
          <cell r="F26">
            <v>297724</v>
          </cell>
        </row>
        <row r="27">
          <cell r="C27">
            <v>0</v>
          </cell>
          <cell r="D27">
            <v>0</v>
          </cell>
          <cell r="E27">
            <v>250140</v>
          </cell>
          <cell r="F27">
            <v>1304368.45</v>
          </cell>
        </row>
        <row r="28">
          <cell r="C28">
            <v>12103446.48</v>
          </cell>
          <cell r="D28">
            <v>1587.51</v>
          </cell>
          <cell r="E28">
            <v>1912781.8800000001</v>
          </cell>
          <cell r="F28">
            <v>17927</v>
          </cell>
        </row>
        <row r="29">
          <cell r="C29">
            <v>11250000</v>
          </cell>
          <cell r="D29">
            <v>0</v>
          </cell>
          <cell r="E29">
            <v>2470592.2200000002</v>
          </cell>
          <cell r="F29">
            <v>0</v>
          </cell>
        </row>
        <row r="31">
          <cell r="D31">
            <v>209961.79</v>
          </cell>
          <cell r="E31">
            <v>29273978.41</v>
          </cell>
          <cell r="F31">
            <v>5781.12</v>
          </cell>
        </row>
        <row r="32">
          <cell r="C32">
            <v>0</v>
          </cell>
          <cell r="E32">
            <v>0</v>
          </cell>
          <cell r="F32">
            <v>286435.17</v>
          </cell>
        </row>
        <row r="33">
          <cell r="C33">
            <v>0</v>
          </cell>
          <cell r="D33">
            <v>0</v>
          </cell>
          <cell r="E33">
            <v>31361</v>
          </cell>
          <cell r="F33">
            <v>0</v>
          </cell>
        </row>
        <row r="34">
          <cell r="D34">
            <v>122903.46</v>
          </cell>
          <cell r="E34">
            <v>1923808.1</v>
          </cell>
          <cell r="F34">
            <v>4256458.4000000004</v>
          </cell>
        </row>
        <row r="35">
          <cell r="C35">
            <v>122142.85</v>
          </cell>
          <cell r="D35">
            <v>11491.96</v>
          </cell>
          <cell r="E35">
            <v>2219155.21</v>
          </cell>
          <cell r="F35">
            <v>437834.59</v>
          </cell>
        </row>
      </sheetData>
      <sheetData sheetId="45">
        <row r="35">
          <cell r="C35">
            <v>9137</v>
          </cell>
          <cell r="D35">
            <v>9261</v>
          </cell>
        </row>
      </sheetData>
      <sheetData sheetId="46"/>
      <sheetData sheetId="4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40" workbookViewId="0">
      <selection activeCell="C61" sqref="C61"/>
    </sheetView>
  </sheetViews>
  <sheetFormatPr defaultColWidth="9.140625" defaultRowHeight="15" x14ac:dyDescent="0.25"/>
  <cols>
    <col min="1" max="1" width="33.28515625" style="2" customWidth="1"/>
    <col min="2" max="2" width="21.42578125" style="2" customWidth="1"/>
    <col min="3" max="3" width="22" style="2" customWidth="1"/>
    <col min="4" max="4" width="36.140625" style="2" customWidth="1"/>
    <col min="5" max="5" width="22.28515625" style="2" customWidth="1"/>
    <col min="6" max="6" width="23.28515625" style="2" customWidth="1"/>
    <col min="7" max="8" width="14.5703125" style="1" customWidth="1"/>
    <col min="9" max="9" width="16" style="1" customWidth="1"/>
    <col min="10" max="10" width="15.7109375" style="2" bestFit="1" customWidth="1"/>
    <col min="11" max="11" width="17" style="2" bestFit="1" customWidth="1"/>
    <col min="12" max="16384" width="9.140625" style="2"/>
  </cols>
  <sheetData>
    <row r="1" spans="1:11" ht="15" customHeight="1" x14ac:dyDescent="0.25">
      <c r="A1" s="360" t="s">
        <v>0</v>
      </c>
      <c r="B1" s="362" t="s">
        <v>1</v>
      </c>
      <c r="C1" s="363"/>
      <c r="D1" s="364"/>
      <c r="E1" s="368" t="s">
        <v>2</v>
      </c>
      <c r="F1" s="369"/>
    </row>
    <row r="2" spans="1:11" x14ac:dyDescent="0.25">
      <c r="A2" s="361"/>
      <c r="B2" s="365"/>
      <c r="C2" s="366"/>
      <c r="D2" s="367"/>
      <c r="E2" s="370"/>
      <c r="F2" s="371"/>
    </row>
    <row r="3" spans="1:11" x14ac:dyDescent="0.25">
      <c r="A3" s="361"/>
      <c r="B3" s="365"/>
      <c r="C3" s="366"/>
      <c r="D3" s="367"/>
      <c r="E3" s="370"/>
      <c r="F3" s="371"/>
    </row>
    <row r="4" spans="1:11" ht="27" customHeight="1" x14ac:dyDescent="0.25">
      <c r="A4" s="361"/>
      <c r="B4" s="365"/>
      <c r="C4" s="366"/>
      <c r="D4" s="367"/>
      <c r="E4" s="370"/>
      <c r="F4" s="371"/>
    </row>
    <row r="5" spans="1:11" x14ac:dyDescent="0.25">
      <c r="A5" s="3" t="s">
        <v>3</v>
      </c>
      <c r="B5" s="375"/>
      <c r="C5" s="376"/>
      <c r="D5" s="377"/>
      <c r="E5" s="372"/>
      <c r="F5" s="371"/>
    </row>
    <row r="6" spans="1:11" ht="15.75" thickBot="1" x14ac:dyDescent="0.3">
      <c r="A6" s="4" t="s">
        <v>4</v>
      </c>
      <c r="B6" s="378"/>
      <c r="C6" s="379"/>
      <c r="D6" s="380"/>
      <c r="E6" s="373"/>
      <c r="F6" s="374"/>
    </row>
    <row r="7" spans="1:11" ht="22.5" customHeight="1" thickBot="1" x14ac:dyDescent="0.3">
      <c r="A7" s="5" t="s">
        <v>5</v>
      </c>
      <c r="B7" s="5" t="s">
        <v>6</v>
      </c>
      <c r="C7" s="5" t="s">
        <v>7</v>
      </c>
      <c r="D7" s="5" t="s">
        <v>8</v>
      </c>
      <c r="E7" s="5" t="s">
        <v>6</v>
      </c>
      <c r="F7" s="5" t="s">
        <v>7</v>
      </c>
    </row>
    <row r="8" spans="1:11" ht="17.25" customHeight="1" x14ac:dyDescent="0.25">
      <c r="A8" s="6" t="s">
        <v>9</v>
      </c>
      <c r="B8" s="7">
        <f>B9+B10+B20+B21+B25+B26</f>
        <v>20625765111.52</v>
      </c>
      <c r="C8" s="7">
        <f>C9+C10+C20+C21+C25+C26</f>
        <v>21936983920.32</v>
      </c>
      <c r="D8" s="6" t="s">
        <v>10</v>
      </c>
      <c r="E8" s="7">
        <f>E9+E10+E13+E14</f>
        <v>18511382361.830002</v>
      </c>
      <c r="F8" s="7">
        <f>F9+F10+F13+F14</f>
        <v>19515132806.950001</v>
      </c>
      <c r="G8" s="8"/>
      <c r="H8" s="8"/>
      <c r="I8" s="9"/>
      <c r="J8" s="10"/>
      <c r="K8" s="10"/>
    </row>
    <row r="9" spans="1:11" ht="27" customHeight="1" x14ac:dyDescent="0.25">
      <c r="A9" s="11" t="s">
        <v>11</v>
      </c>
      <c r="B9" s="12">
        <v>31982878.370000001</v>
      </c>
      <c r="C9" s="12">
        <v>30703030.25</v>
      </c>
      <c r="D9" s="11" t="s">
        <v>12</v>
      </c>
      <c r="E9" s="12">
        <v>3530789348.48</v>
      </c>
      <c r="F9" s="12">
        <v>-1204111589.21</v>
      </c>
      <c r="G9" s="8"/>
      <c r="H9" s="8"/>
      <c r="I9" s="9"/>
      <c r="J9" s="10"/>
      <c r="K9" s="10"/>
    </row>
    <row r="10" spans="1:11" ht="16.5" customHeight="1" x14ac:dyDescent="0.25">
      <c r="A10" s="11" t="s">
        <v>13</v>
      </c>
      <c r="B10" s="12">
        <f>B11+B18+B19</f>
        <v>13816071523.529999</v>
      </c>
      <c r="C10" s="12">
        <f>C11+C18+C19</f>
        <v>14703290393.66</v>
      </c>
      <c r="D10" s="11" t="s">
        <v>14</v>
      </c>
      <c r="E10" s="12">
        <f>E11+E12</f>
        <v>14980593013.35</v>
      </c>
      <c r="F10" s="12">
        <f>F11+F12</f>
        <v>20719244396.16</v>
      </c>
      <c r="G10" s="8"/>
      <c r="H10" s="8"/>
      <c r="I10" s="9"/>
      <c r="J10" s="10"/>
      <c r="K10" s="10"/>
    </row>
    <row r="11" spans="1:11" ht="16.5" customHeight="1" x14ac:dyDescent="0.25">
      <c r="A11" s="11" t="s">
        <v>15</v>
      </c>
      <c r="B11" s="12">
        <f>B12+SUM(B14:B17)</f>
        <v>11796098632.529999</v>
      </c>
      <c r="C11" s="12">
        <f>C12+SUM(C14:C17)</f>
        <v>12598393440.809999</v>
      </c>
      <c r="D11" s="13" t="s">
        <v>16</v>
      </c>
      <c r="E11" s="14">
        <f>16073138418.7-1092545405.35</f>
        <v>14980593013.35</v>
      </c>
      <c r="F11" s="14">
        <f>22000313486.31-1281069090.15</f>
        <v>20719244396.16</v>
      </c>
      <c r="G11" s="8"/>
      <c r="H11" s="8"/>
      <c r="I11" s="9"/>
      <c r="J11" s="10"/>
      <c r="K11" s="10"/>
    </row>
    <row r="12" spans="1:11" ht="16.5" customHeight="1" x14ac:dyDescent="0.25">
      <c r="A12" s="13" t="s">
        <v>17</v>
      </c>
      <c r="B12" s="14">
        <v>9474024857.3899994</v>
      </c>
      <c r="C12" s="14">
        <v>10110096279.4</v>
      </c>
      <c r="D12" s="13" t="s">
        <v>18</v>
      </c>
      <c r="E12" s="14">
        <f>-1092545405.35+1092545405.35</f>
        <v>0</v>
      </c>
      <c r="F12" s="14">
        <v>0</v>
      </c>
      <c r="G12" s="8"/>
      <c r="H12" s="8"/>
      <c r="I12" s="9"/>
      <c r="J12" s="10"/>
      <c r="K12" s="10"/>
    </row>
    <row r="13" spans="1:11" ht="75" x14ac:dyDescent="0.25">
      <c r="A13" s="13" t="s">
        <v>19</v>
      </c>
      <c r="B13" s="14">
        <v>142930070.69</v>
      </c>
      <c r="C13" s="14">
        <v>140997992.09</v>
      </c>
      <c r="D13" s="11" t="s">
        <v>20</v>
      </c>
      <c r="E13" s="12">
        <v>0</v>
      </c>
      <c r="F13" s="12">
        <v>0</v>
      </c>
      <c r="G13" s="8"/>
      <c r="H13" s="8"/>
      <c r="I13" s="9"/>
      <c r="J13" s="10"/>
      <c r="K13" s="10"/>
    </row>
    <row r="14" spans="1:11" ht="30" x14ac:dyDescent="0.25">
      <c r="A14" s="13" t="s">
        <v>21</v>
      </c>
      <c r="B14" s="14">
        <v>2239406267.1300001</v>
      </c>
      <c r="C14" s="14">
        <v>2394810920.1399999</v>
      </c>
      <c r="D14" s="11" t="s">
        <v>22</v>
      </c>
      <c r="E14" s="12">
        <v>0</v>
      </c>
      <c r="F14" s="12">
        <v>0</v>
      </c>
      <c r="G14" s="8"/>
      <c r="H14" s="8"/>
      <c r="I14" s="9"/>
      <c r="J14" s="10"/>
      <c r="K14" s="10"/>
    </row>
    <row r="15" spans="1:11" ht="30" x14ac:dyDescent="0.25">
      <c r="A15" s="13" t="s">
        <v>23</v>
      </c>
      <c r="B15" s="14">
        <v>49657990.299999997</v>
      </c>
      <c r="C15" s="14">
        <v>61370008.729999997</v>
      </c>
      <c r="D15" s="11" t="s">
        <v>24</v>
      </c>
      <c r="E15" s="12">
        <v>0</v>
      </c>
      <c r="F15" s="12">
        <v>0</v>
      </c>
      <c r="G15" s="8"/>
      <c r="H15" s="8"/>
      <c r="I15" s="9"/>
      <c r="J15" s="10"/>
      <c r="K15" s="10"/>
    </row>
    <row r="16" spans="1:11" x14ac:dyDescent="0.25">
      <c r="A16" s="13" t="s">
        <v>25</v>
      </c>
      <c r="B16" s="14">
        <v>1167998.06</v>
      </c>
      <c r="C16" s="14">
        <v>1583304.48</v>
      </c>
      <c r="D16" s="11" t="s">
        <v>26</v>
      </c>
      <c r="E16" s="12">
        <v>0</v>
      </c>
      <c r="F16" s="12">
        <v>0</v>
      </c>
      <c r="G16" s="8"/>
      <c r="H16" s="8"/>
      <c r="I16" s="9"/>
      <c r="J16" s="10"/>
      <c r="K16" s="10"/>
    </row>
    <row r="17" spans="1:11" ht="30" x14ac:dyDescent="0.25">
      <c r="A17" s="13" t="s">
        <v>27</v>
      </c>
      <c r="B17" s="14">
        <v>31841519.649999999</v>
      </c>
      <c r="C17" s="14">
        <v>30532928.059999999</v>
      </c>
      <c r="D17" s="11" t="s">
        <v>28</v>
      </c>
      <c r="E17" s="15">
        <f>E18+E19+E30+E31</f>
        <v>2781013136.7199998</v>
      </c>
      <c r="F17" s="15">
        <f>F18+F19+F30+F31</f>
        <v>3140709253.4099998</v>
      </c>
      <c r="G17" s="8"/>
      <c r="H17" s="8"/>
      <c r="I17" s="9"/>
      <c r="J17" s="10"/>
      <c r="K17" s="10"/>
    </row>
    <row r="18" spans="1:11" ht="30" x14ac:dyDescent="0.25">
      <c r="A18" s="11" t="s">
        <v>29</v>
      </c>
      <c r="B18" s="12">
        <v>2019972891</v>
      </c>
      <c r="C18" s="12">
        <v>2104896952.8499999</v>
      </c>
      <c r="D18" s="13" t="s">
        <v>30</v>
      </c>
      <c r="E18" s="12">
        <f>1038469.26-482336.34</f>
        <v>556132.91999999993</v>
      </c>
      <c r="F18" s="12">
        <f>864159.39-452032.89</f>
        <v>412126.5</v>
      </c>
      <c r="G18" s="8"/>
      <c r="H18" s="8"/>
      <c r="I18" s="9"/>
      <c r="J18" s="10"/>
      <c r="K18" s="10"/>
    </row>
    <row r="19" spans="1:11" ht="32.25" customHeight="1" x14ac:dyDescent="0.25">
      <c r="A19" s="11" t="s">
        <v>31</v>
      </c>
      <c r="B19" s="12">
        <v>0</v>
      </c>
      <c r="C19" s="12">
        <v>0</v>
      </c>
      <c r="D19" s="11" t="s">
        <v>32</v>
      </c>
      <c r="E19" s="16">
        <f>SUM(E20:E27)</f>
        <v>794778261.57000005</v>
      </c>
      <c r="F19" s="16">
        <f>SUM(F20:F27)</f>
        <v>913945114.41999996</v>
      </c>
      <c r="G19" s="8"/>
      <c r="H19" s="8"/>
      <c r="I19" s="9"/>
      <c r="J19" s="10"/>
      <c r="K19" s="10"/>
    </row>
    <row r="20" spans="1:11" x14ac:dyDescent="0.25">
      <c r="A20" s="11" t="s">
        <v>33</v>
      </c>
      <c r="B20" s="12">
        <f>693768546.55-482336.34</f>
        <v>693286210.20999992</v>
      </c>
      <c r="C20" s="12">
        <f>641590121.14-452032.89</f>
        <v>641138088.25</v>
      </c>
      <c r="D20" s="13" t="s">
        <v>34</v>
      </c>
      <c r="E20" s="14">
        <v>106834058.83</v>
      </c>
      <c r="F20" s="14">
        <f>131631389.81-1037046.27</f>
        <v>130594343.54000001</v>
      </c>
      <c r="G20" s="8"/>
      <c r="H20" s="8"/>
      <c r="I20" s="9"/>
      <c r="J20" s="10"/>
      <c r="K20" s="10"/>
    </row>
    <row r="21" spans="1:11" ht="30" x14ac:dyDescent="0.25">
      <c r="A21" s="11" t="s">
        <v>35</v>
      </c>
      <c r="B21" s="12">
        <f>SUM(B22:B24)</f>
        <v>6068969029.7799997</v>
      </c>
      <c r="C21" s="12">
        <f>SUM(C22:C24)</f>
        <v>6549356906.9300003</v>
      </c>
      <c r="D21" s="13" t="s">
        <v>36</v>
      </c>
      <c r="E21" s="14">
        <v>15335602.539999999</v>
      </c>
      <c r="F21" s="14">
        <v>19445491.809999999</v>
      </c>
      <c r="G21" s="8"/>
      <c r="H21" s="8"/>
      <c r="I21" s="9"/>
      <c r="J21" s="10"/>
      <c r="K21" s="10"/>
    </row>
    <row r="22" spans="1:11" ht="30" x14ac:dyDescent="0.25">
      <c r="A22" s="13" t="s">
        <v>37</v>
      </c>
      <c r="B22" s="14">
        <v>6068969029.7799997</v>
      </c>
      <c r="C22" s="14">
        <v>6549356906.9300003</v>
      </c>
      <c r="D22" s="13" t="s">
        <v>38</v>
      </c>
      <c r="E22" s="14">
        <v>66722390.159999996</v>
      </c>
      <c r="F22" s="14">
        <v>73734237.75</v>
      </c>
      <c r="G22" s="8"/>
      <c r="H22" s="8"/>
      <c r="I22" s="9"/>
      <c r="J22" s="10"/>
      <c r="K22" s="10"/>
    </row>
    <row r="23" spans="1:11" ht="14.25" customHeight="1" x14ac:dyDescent="0.25">
      <c r="A23" s="13" t="s">
        <v>39</v>
      </c>
      <c r="B23" s="14">
        <v>0</v>
      </c>
      <c r="C23" s="14">
        <v>0</v>
      </c>
      <c r="D23" s="13" t="s">
        <v>40</v>
      </c>
      <c r="E23" s="14">
        <v>52466679.100000001</v>
      </c>
      <c r="F23" s="14">
        <v>60455565.109999999</v>
      </c>
      <c r="G23" s="8"/>
      <c r="H23" s="8"/>
      <c r="I23" s="9"/>
      <c r="J23" s="10"/>
      <c r="K23" s="10"/>
    </row>
    <row r="24" spans="1:11" ht="30" x14ac:dyDescent="0.25">
      <c r="A24" s="13" t="s">
        <v>41</v>
      </c>
      <c r="B24" s="14">
        <v>0</v>
      </c>
      <c r="C24" s="14">
        <v>0</v>
      </c>
      <c r="D24" s="13" t="s">
        <v>42</v>
      </c>
      <c r="E24" s="14">
        <f>534085434.58-179135917.7</f>
        <v>354949516.88</v>
      </c>
      <c r="F24" s="14">
        <f>554554573.1-164436184.83</f>
        <v>390118388.26999998</v>
      </c>
      <c r="G24" s="8"/>
      <c r="H24" s="8"/>
      <c r="I24" s="9"/>
      <c r="J24" s="10"/>
      <c r="K24" s="10"/>
    </row>
    <row r="25" spans="1:11" ht="30" x14ac:dyDescent="0.25">
      <c r="A25" s="11" t="s">
        <v>43</v>
      </c>
      <c r="B25" s="12">
        <v>15455469.630000001</v>
      </c>
      <c r="C25" s="12">
        <v>12495501.23</v>
      </c>
      <c r="D25" s="13" t="s">
        <v>44</v>
      </c>
      <c r="E25" s="14">
        <v>189547204.84999999</v>
      </c>
      <c r="F25" s="14">
        <v>223763172.53999999</v>
      </c>
      <c r="G25" s="8"/>
      <c r="H25" s="8"/>
      <c r="I25" s="9"/>
      <c r="J25" s="10"/>
      <c r="K25" s="10"/>
    </row>
    <row r="26" spans="1:11" ht="45" x14ac:dyDescent="0.25">
      <c r="A26" s="11" t="s">
        <v>45</v>
      </c>
      <c r="B26" s="12">
        <v>0</v>
      </c>
      <c r="C26" s="12">
        <v>0</v>
      </c>
      <c r="D26" s="13" t="s">
        <v>46</v>
      </c>
      <c r="E26" s="14">
        <v>1342789.95</v>
      </c>
      <c r="F26" s="14">
        <v>645614.03</v>
      </c>
      <c r="G26" s="8"/>
      <c r="H26" s="8"/>
      <c r="I26" s="9"/>
      <c r="J26" s="10"/>
      <c r="K26" s="10"/>
    </row>
    <row r="27" spans="1:11" x14ac:dyDescent="0.25">
      <c r="A27" s="11" t="s">
        <v>47</v>
      </c>
      <c r="B27" s="12">
        <f>B28+B33+B39+B47</f>
        <v>666630387.02999997</v>
      </c>
      <c r="C27" s="12">
        <f>C28+C33+C39+C47</f>
        <v>718858140.04000008</v>
      </c>
      <c r="D27" s="13" t="s">
        <v>48</v>
      </c>
      <c r="E27" s="14">
        <f>SUM(E28:E29)</f>
        <v>7580019.2599999998</v>
      </c>
      <c r="F27" s="14">
        <f>SUM(F28:F29)</f>
        <v>15188301.369999999</v>
      </c>
      <c r="G27" s="8"/>
      <c r="H27" s="8"/>
      <c r="I27" s="9"/>
      <c r="J27" s="10"/>
      <c r="K27" s="10"/>
    </row>
    <row r="28" spans="1:11" ht="30" x14ac:dyDescent="0.25">
      <c r="A28" s="11" t="s">
        <v>49</v>
      </c>
      <c r="B28" s="12">
        <f>SUM(B29:B32)</f>
        <v>2326652.1500000004</v>
      </c>
      <c r="C28" s="12">
        <f>SUM(C29:C32)</f>
        <v>2655627.7000000002</v>
      </c>
      <c r="D28" s="13" t="s">
        <v>50</v>
      </c>
      <c r="E28" s="14">
        <v>7580019.2599999998</v>
      </c>
      <c r="F28" s="14">
        <v>15188301.369999999</v>
      </c>
      <c r="G28" s="8"/>
      <c r="H28" s="8"/>
      <c r="I28" s="9"/>
      <c r="J28" s="10"/>
      <c r="K28" s="10"/>
    </row>
    <row r="29" spans="1:11" x14ac:dyDescent="0.25">
      <c r="A29" s="13" t="s">
        <v>51</v>
      </c>
      <c r="B29" s="14">
        <v>1569929.35</v>
      </c>
      <c r="C29" s="14">
        <v>1541649.44</v>
      </c>
      <c r="D29" s="13" t="s">
        <v>52</v>
      </c>
      <c r="E29" s="14">
        <v>0</v>
      </c>
      <c r="F29" s="14">
        <v>0</v>
      </c>
      <c r="G29" s="8"/>
      <c r="H29" s="8"/>
      <c r="I29" s="9"/>
      <c r="J29" s="10"/>
      <c r="K29" s="10"/>
    </row>
    <row r="30" spans="1:11" x14ac:dyDescent="0.25">
      <c r="A30" s="13" t="s">
        <v>53</v>
      </c>
      <c r="B30" s="14">
        <v>0</v>
      </c>
      <c r="C30" s="14">
        <v>0</v>
      </c>
      <c r="D30" s="11" t="s">
        <v>54</v>
      </c>
      <c r="E30" s="12">
        <v>1833383001.71</v>
      </c>
      <c r="F30" s="12">
        <v>2075346764.02</v>
      </c>
      <c r="G30" s="8"/>
      <c r="H30" s="8"/>
      <c r="I30" s="9"/>
      <c r="J30" s="10"/>
      <c r="K30" s="10"/>
    </row>
    <row r="31" spans="1:11" x14ac:dyDescent="0.25">
      <c r="A31" s="13" t="s">
        <v>55</v>
      </c>
      <c r="B31" s="14">
        <v>0</v>
      </c>
      <c r="C31" s="17">
        <v>0</v>
      </c>
      <c r="D31" s="11" t="s">
        <v>56</v>
      </c>
      <c r="E31" s="12">
        <f>E32+E33</f>
        <v>152295740.52000001</v>
      </c>
      <c r="F31" s="12">
        <f>F32+F33</f>
        <v>151005248.47</v>
      </c>
      <c r="G31" s="8"/>
      <c r="H31" s="8"/>
      <c r="I31" s="9"/>
      <c r="J31" s="10"/>
      <c r="K31" s="10"/>
    </row>
    <row r="32" spans="1:11" ht="30" x14ac:dyDescent="0.25">
      <c r="A32" s="13" t="s">
        <v>57</v>
      </c>
      <c r="B32" s="14">
        <v>756722.8</v>
      </c>
      <c r="C32" s="14">
        <v>1113978.26</v>
      </c>
      <c r="D32" s="13" t="s">
        <v>58</v>
      </c>
      <c r="E32" s="14">
        <v>152295740.52000001</v>
      </c>
      <c r="F32" s="14">
        <v>151005248.47</v>
      </c>
      <c r="G32" s="8"/>
      <c r="H32" s="8"/>
      <c r="I32" s="9"/>
      <c r="J32" s="10"/>
      <c r="K32" s="10"/>
    </row>
    <row r="33" spans="1:11" x14ac:dyDescent="0.25">
      <c r="A33" s="11" t="s">
        <v>59</v>
      </c>
      <c r="B33" s="12">
        <f>SUM(B34:B38)</f>
        <v>419562592.36000001</v>
      </c>
      <c r="C33" s="12">
        <f>SUM(C34:C38)</f>
        <v>424157799.31000006</v>
      </c>
      <c r="D33" s="13" t="s">
        <v>60</v>
      </c>
      <c r="E33" s="14">
        <v>0</v>
      </c>
      <c r="F33" s="14">
        <v>0</v>
      </c>
      <c r="G33" s="8"/>
      <c r="H33" s="8"/>
      <c r="I33" s="9"/>
      <c r="J33" s="10"/>
      <c r="K33" s="10"/>
    </row>
    <row r="34" spans="1:11" x14ac:dyDescent="0.25">
      <c r="A34" s="13" t="s">
        <v>61</v>
      </c>
      <c r="B34" s="14">
        <v>6486580.5300000003</v>
      </c>
      <c r="C34" s="14">
        <f>13012213.17-1661487.7</f>
        <v>11350725.470000001</v>
      </c>
      <c r="D34" s="13"/>
      <c r="E34" s="12"/>
      <c r="F34" s="12"/>
      <c r="G34" s="8"/>
      <c r="H34" s="8"/>
      <c r="I34" s="9"/>
      <c r="J34" s="10"/>
      <c r="K34" s="10"/>
    </row>
    <row r="35" spans="1:11" x14ac:dyDescent="0.25">
      <c r="A35" s="13" t="s">
        <v>62</v>
      </c>
      <c r="B35" s="14">
        <v>62483697.159999996</v>
      </c>
      <c r="C35" s="14">
        <v>116302933.90000001</v>
      </c>
      <c r="D35" s="13"/>
      <c r="E35" s="12"/>
      <c r="F35" s="12"/>
      <c r="G35" s="8"/>
      <c r="H35" s="8"/>
      <c r="I35" s="9"/>
      <c r="J35" s="10"/>
      <c r="K35" s="10"/>
    </row>
    <row r="36" spans="1:11" ht="30" x14ac:dyDescent="0.25">
      <c r="A36" s="13" t="s">
        <v>63</v>
      </c>
      <c r="B36" s="14">
        <v>202.27</v>
      </c>
      <c r="C36" s="14">
        <v>129.99</v>
      </c>
      <c r="D36" s="13"/>
      <c r="E36" s="12"/>
      <c r="F36" s="12"/>
      <c r="G36" s="8"/>
      <c r="H36" s="8"/>
      <c r="I36" s="9"/>
      <c r="J36" s="10"/>
      <c r="K36" s="10"/>
    </row>
    <row r="37" spans="1:11" x14ac:dyDescent="0.25">
      <c r="A37" s="13" t="s">
        <v>64</v>
      </c>
      <c r="B37" s="14">
        <f>529728030.1-179135917.7</f>
        <v>350592112.40000004</v>
      </c>
      <c r="C37" s="14">
        <f>460315753.35-163811743.4</f>
        <v>296504009.95000005</v>
      </c>
      <c r="D37" s="11"/>
      <c r="E37" s="12"/>
      <c r="F37" s="12"/>
      <c r="G37" s="8"/>
      <c r="H37" s="8"/>
      <c r="I37" s="9"/>
      <c r="J37" s="10"/>
    </row>
    <row r="38" spans="1:11" ht="45" x14ac:dyDescent="0.25">
      <c r="A38" s="13" t="s">
        <v>65</v>
      </c>
      <c r="B38" s="14">
        <v>0</v>
      </c>
      <c r="C38" s="14">
        <v>0</v>
      </c>
      <c r="D38" s="13"/>
      <c r="E38" s="18"/>
      <c r="F38" s="18"/>
      <c r="G38" s="8"/>
      <c r="H38" s="8"/>
      <c r="I38" s="9"/>
      <c r="J38" s="10"/>
    </row>
    <row r="39" spans="1:11" ht="28.5" customHeight="1" x14ac:dyDescent="0.25">
      <c r="A39" s="11" t="s">
        <v>66</v>
      </c>
      <c r="B39" s="12">
        <f>SUM(B40:B46)</f>
        <v>201166683.41</v>
      </c>
      <c r="C39" s="12">
        <f>SUM(C40:C46)</f>
        <v>236664963.87</v>
      </c>
      <c r="D39" s="13"/>
      <c r="E39" s="19"/>
      <c r="F39" s="19"/>
      <c r="G39" s="8"/>
      <c r="H39" s="8"/>
      <c r="I39" s="9"/>
      <c r="J39" s="10"/>
    </row>
    <row r="40" spans="1:11" ht="18.75" customHeight="1" x14ac:dyDescent="0.25">
      <c r="A40" s="13" t="s">
        <v>67</v>
      </c>
      <c r="B40" s="14">
        <v>0</v>
      </c>
      <c r="C40" s="14">
        <v>0</v>
      </c>
      <c r="D40" s="13"/>
      <c r="E40" s="19"/>
      <c r="F40" s="19"/>
      <c r="G40" s="8"/>
      <c r="H40" s="8"/>
      <c r="I40" s="9"/>
      <c r="J40" s="10"/>
    </row>
    <row r="41" spans="1:11" ht="31.5" customHeight="1" x14ac:dyDescent="0.25">
      <c r="A41" s="13" t="s">
        <v>68</v>
      </c>
      <c r="B41" s="14">
        <v>10032146.32</v>
      </c>
      <c r="C41" s="14">
        <v>12589388.68</v>
      </c>
      <c r="D41" s="13"/>
      <c r="E41" s="19"/>
      <c r="F41" s="19"/>
      <c r="G41" s="8"/>
      <c r="H41" s="8"/>
      <c r="I41" s="9"/>
      <c r="J41" s="10"/>
    </row>
    <row r="42" spans="1:11" ht="30" x14ac:dyDescent="0.25">
      <c r="A42" s="13" t="s">
        <v>69</v>
      </c>
      <c r="B42" s="14">
        <v>0</v>
      </c>
      <c r="C42" s="14">
        <v>0</v>
      </c>
      <c r="D42" s="13"/>
      <c r="E42" s="19"/>
      <c r="F42" s="19"/>
      <c r="G42" s="8"/>
      <c r="H42" s="8"/>
      <c r="I42" s="9"/>
      <c r="J42" s="10"/>
    </row>
    <row r="43" spans="1:11" ht="18.75" customHeight="1" x14ac:dyDescent="0.25">
      <c r="A43" s="13" t="s">
        <v>70</v>
      </c>
      <c r="B43" s="18">
        <v>191134537.09</v>
      </c>
      <c r="C43" s="18">
        <v>224075575.19</v>
      </c>
      <c r="D43" s="13"/>
      <c r="E43" s="19"/>
      <c r="F43" s="19"/>
      <c r="G43" s="8"/>
      <c r="H43" s="8"/>
      <c r="I43" s="9"/>
      <c r="J43" s="10"/>
    </row>
    <row r="44" spans="1:11" ht="16.5" customHeight="1" x14ac:dyDescent="0.25">
      <c r="A44" s="13" t="s">
        <v>71</v>
      </c>
      <c r="B44" s="14">
        <v>0</v>
      </c>
      <c r="C44" s="14">
        <v>0</v>
      </c>
      <c r="D44" s="13"/>
      <c r="E44" s="19"/>
      <c r="F44" s="19"/>
      <c r="G44" s="8"/>
      <c r="H44" s="8"/>
      <c r="I44" s="9"/>
      <c r="J44" s="10"/>
    </row>
    <row r="45" spans="1:11" ht="18.75" customHeight="1" x14ac:dyDescent="0.25">
      <c r="A45" s="13" t="s">
        <v>72</v>
      </c>
      <c r="B45" s="14">
        <v>0</v>
      </c>
      <c r="C45" s="14">
        <v>0</v>
      </c>
      <c r="D45" s="13"/>
      <c r="E45" s="19"/>
      <c r="F45" s="19"/>
      <c r="G45" s="8"/>
      <c r="H45" s="8"/>
      <c r="I45" s="9"/>
      <c r="J45" s="10"/>
    </row>
    <row r="46" spans="1:11" ht="26.45" customHeight="1" x14ac:dyDescent="0.25">
      <c r="A46" s="13" t="s">
        <v>73</v>
      </c>
      <c r="B46" s="14">
        <v>0</v>
      </c>
      <c r="C46" s="14">
        <v>0</v>
      </c>
      <c r="D46" s="13"/>
      <c r="E46" s="19"/>
      <c r="F46" s="19"/>
      <c r="G46" s="8"/>
      <c r="H46" s="8"/>
      <c r="I46" s="9"/>
      <c r="J46" s="10"/>
    </row>
    <row r="47" spans="1:11" ht="18.75" customHeight="1" thickBot="1" x14ac:dyDescent="0.3">
      <c r="A47" s="20" t="s">
        <v>74</v>
      </c>
      <c r="B47" s="21">
        <v>43574459.109999999</v>
      </c>
      <c r="C47" s="21">
        <v>55379749.159999996</v>
      </c>
      <c r="D47" s="22"/>
      <c r="E47" s="23"/>
      <c r="F47" s="23"/>
      <c r="G47" s="8"/>
      <c r="H47" s="8"/>
      <c r="I47" s="9"/>
      <c r="J47" s="10"/>
    </row>
    <row r="48" spans="1:11" ht="17.25" customHeight="1" thickBot="1" x14ac:dyDescent="0.3">
      <c r="A48" s="24" t="s">
        <v>75</v>
      </c>
      <c r="B48" s="25">
        <f>B8+B27</f>
        <v>21292395498.549999</v>
      </c>
      <c r="C48" s="25">
        <f>C8+C27</f>
        <v>22655842060.360001</v>
      </c>
      <c r="D48" s="24" t="s">
        <v>76</v>
      </c>
      <c r="E48" s="25">
        <f>E8+E15+E16+E17</f>
        <v>21292395498.550003</v>
      </c>
      <c r="F48" s="25">
        <f>F8+F15+F16+F17</f>
        <v>22655842060.360001</v>
      </c>
      <c r="G48" s="8"/>
      <c r="H48" s="8"/>
      <c r="I48" s="9"/>
      <c r="J48" s="10"/>
    </row>
    <row r="49" spans="1:6" x14ac:dyDescent="0.25">
      <c r="A49" s="381"/>
      <c r="B49" s="381"/>
      <c r="C49" s="381"/>
      <c r="D49" s="381"/>
      <c r="E49" s="381"/>
      <c r="F49" s="381"/>
    </row>
    <row r="50" spans="1:6" s="29" customFormat="1" x14ac:dyDescent="0.25">
      <c r="A50" s="26"/>
      <c r="B50" s="27"/>
      <c r="C50" s="27"/>
      <c r="D50" s="26"/>
      <c r="E50" s="28">
        <f>E48-B48</f>
        <v>0</v>
      </c>
      <c r="F50" s="28">
        <f>F48-C48</f>
        <v>0</v>
      </c>
    </row>
    <row r="51" spans="1:6" x14ac:dyDescent="0.25">
      <c r="A51" s="30"/>
      <c r="B51" s="30"/>
      <c r="C51" s="30"/>
      <c r="D51" s="30"/>
      <c r="E51" s="30"/>
      <c r="F51" s="30"/>
    </row>
    <row r="52" spans="1:6" x14ac:dyDescent="0.25">
      <c r="A52" s="30"/>
      <c r="B52" s="30"/>
      <c r="C52" s="30"/>
      <c r="D52" s="30"/>
      <c r="E52" s="30"/>
      <c r="F52" s="30"/>
    </row>
    <row r="53" spans="1:6" ht="15" customHeight="1" x14ac:dyDescent="0.25">
      <c r="A53" s="30"/>
      <c r="B53" s="30"/>
      <c r="C53" s="382">
        <v>45747</v>
      </c>
      <c r="D53" s="382"/>
      <c r="E53" s="30"/>
      <c r="F53" s="30"/>
    </row>
    <row r="54" spans="1:6" ht="30" x14ac:dyDescent="0.25">
      <c r="A54" s="31" t="s">
        <v>77</v>
      </c>
      <c r="B54" s="31"/>
      <c r="C54" s="358" t="s">
        <v>78</v>
      </c>
      <c r="D54" s="359"/>
      <c r="E54" s="31"/>
      <c r="F54" s="31" t="s">
        <v>79</v>
      </c>
    </row>
    <row r="55" spans="1:6" x14ac:dyDescent="0.25">
      <c r="A55" s="31" t="s">
        <v>80</v>
      </c>
      <c r="E55" s="31"/>
      <c r="F55" s="31" t="s">
        <v>81</v>
      </c>
    </row>
    <row r="56" spans="1:6" x14ac:dyDescent="0.25">
      <c r="A56" s="31"/>
      <c r="B56" s="31"/>
      <c r="C56" s="31"/>
      <c r="E56" s="31"/>
    </row>
    <row r="57" spans="1:6" x14ac:dyDescent="0.25">
      <c r="A57" s="32"/>
      <c r="B57" s="31"/>
      <c r="C57" s="31"/>
      <c r="E57" s="31"/>
    </row>
    <row r="58" spans="1:6" x14ac:dyDescent="0.25">
      <c r="A58" s="31"/>
      <c r="B58" s="31"/>
      <c r="C58" s="31"/>
      <c r="E58" s="31"/>
    </row>
    <row r="63" spans="1:6" x14ac:dyDescent="0.25">
      <c r="A63" s="33"/>
    </row>
  </sheetData>
  <mergeCells count="7">
    <mergeCell ref="C54:D54"/>
    <mergeCell ref="A1:A4"/>
    <mergeCell ref="B1:D4"/>
    <mergeCell ref="E1:F6"/>
    <mergeCell ref="B5:D6"/>
    <mergeCell ref="A49:F49"/>
    <mergeCell ref="C53:D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B54" sqref="B54"/>
    </sheetView>
  </sheetViews>
  <sheetFormatPr defaultColWidth="9.140625" defaultRowHeight="15" x14ac:dyDescent="0.25"/>
  <cols>
    <col min="1" max="1" width="35.28515625" style="2" customWidth="1"/>
    <col min="2" max="2" width="29.28515625" style="2" customWidth="1"/>
    <col min="3" max="3" width="29.7109375" style="2" customWidth="1"/>
    <col min="4" max="4" width="26.42578125" style="2" customWidth="1"/>
    <col min="5" max="5" width="27.5703125" style="1" customWidth="1"/>
    <col min="6" max="6" width="14.28515625" style="1" bestFit="1" customWidth="1"/>
    <col min="7" max="7" width="12.7109375" style="1" customWidth="1"/>
    <col min="8" max="9" width="14.42578125" style="2" customWidth="1"/>
    <col min="10" max="16384" width="9.140625" style="2"/>
  </cols>
  <sheetData>
    <row r="1" spans="1:15" ht="29.25" customHeight="1" x14ac:dyDescent="0.25">
      <c r="A1" s="360" t="s">
        <v>0</v>
      </c>
      <c r="B1" s="398" t="s">
        <v>82</v>
      </c>
      <c r="C1" s="399"/>
      <c r="D1" s="360" t="s">
        <v>83</v>
      </c>
    </row>
    <row r="2" spans="1:15" x14ac:dyDescent="0.25">
      <c r="A2" s="361"/>
      <c r="B2" s="400" t="s">
        <v>84</v>
      </c>
      <c r="C2" s="401"/>
      <c r="D2" s="361"/>
    </row>
    <row r="3" spans="1:15" ht="21" customHeight="1" x14ac:dyDescent="0.25">
      <c r="A3" s="361"/>
      <c r="B3" s="400" t="s">
        <v>85</v>
      </c>
      <c r="C3" s="401"/>
      <c r="D3" s="361"/>
    </row>
    <row r="4" spans="1:15" ht="16.899999999999999" customHeight="1" x14ac:dyDescent="0.25">
      <c r="A4" s="361"/>
      <c r="B4" s="400"/>
      <c r="C4" s="401"/>
      <c r="D4" s="361"/>
    </row>
    <row r="5" spans="1:15" x14ac:dyDescent="0.25">
      <c r="A5" s="3" t="s">
        <v>3</v>
      </c>
      <c r="B5" s="375"/>
      <c r="C5" s="377"/>
      <c r="D5" s="34"/>
    </row>
    <row r="6" spans="1:15" ht="15.75" thickBot="1" x14ac:dyDescent="0.3">
      <c r="A6" s="4" t="s">
        <v>4</v>
      </c>
      <c r="B6" s="378"/>
      <c r="C6" s="380"/>
      <c r="D6" s="35"/>
    </row>
    <row r="7" spans="1:15" ht="31.5" customHeight="1" thickBot="1" x14ac:dyDescent="0.3">
      <c r="A7" s="393"/>
      <c r="B7" s="394"/>
      <c r="C7" s="5" t="s">
        <v>86</v>
      </c>
      <c r="D7" s="36" t="s">
        <v>87</v>
      </c>
      <c r="J7" s="37"/>
      <c r="K7" s="37"/>
      <c r="L7" s="37"/>
      <c r="M7" s="37"/>
      <c r="N7" s="37"/>
      <c r="O7" s="37"/>
    </row>
    <row r="8" spans="1:15" ht="14.25" customHeight="1" x14ac:dyDescent="0.25">
      <c r="A8" s="395" t="s">
        <v>88</v>
      </c>
      <c r="B8" s="396"/>
      <c r="C8" s="38">
        <f>SUM(C9:C14)</f>
        <v>18481115128.979996</v>
      </c>
      <c r="D8" s="38">
        <f>SUM(D9:D14)</f>
        <v>25221732823.510002</v>
      </c>
      <c r="E8" s="8"/>
      <c r="F8" s="9"/>
      <c r="G8" s="39"/>
      <c r="H8" s="40"/>
      <c r="I8" s="40"/>
      <c r="J8" s="37"/>
      <c r="K8" s="37"/>
      <c r="L8" s="37"/>
      <c r="M8" s="37"/>
      <c r="N8" s="37"/>
      <c r="O8" s="37"/>
    </row>
    <row r="9" spans="1:15" ht="14.25" customHeight="1" x14ac:dyDescent="0.25">
      <c r="A9" s="384" t="s">
        <v>89</v>
      </c>
      <c r="B9" s="385"/>
      <c r="C9" s="14">
        <f>409092705.39-45836.04</f>
        <v>409046869.34999996</v>
      </c>
      <c r="D9" s="14">
        <f>471181531.17-64423.77</f>
        <v>471117107.40000004</v>
      </c>
      <c r="E9" s="8"/>
      <c r="F9" s="9"/>
      <c r="G9" s="41"/>
      <c r="H9" s="42"/>
      <c r="I9" s="42"/>
      <c r="J9" s="37"/>
      <c r="K9" s="37"/>
      <c r="L9" s="37"/>
      <c r="M9" s="37"/>
      <c r="N9" s="37"/>
      <c r="O9" s="37"/>
    </row>
    <row r="10" spans="1:15" ht="33.75" customHeight="1" x14ac:dyDescent="0.25">
      <c r="A10" s="384" t="s">
        <v>90</v>
      </c>
      <c r="B10" s="385"/>
      <c r="C10" s="14">
        <v>27303.040000000001</v>
      </c>
      <c r="D10" s="14">
        <v>31679.439999999999</v>
      </c>
      <c r="E10" s="8"/>
      <c r="F10" s="9"/>
      <c r="G10" s="41"/>
      <c r="H10" s="42"/>
      <c r="I10" s="42"/>
      <c r="J10" s="397"/>
      <c r="K10" s="397"/>
      <c r="L10" s="37"/>
      <c r="M10" s="392"/>
      <c r="N10" s="37"/>
      <c r="O10" s="37"/>
    </row>
    <row r="11" spans="1:15" ht="14.25" customHeight="1" x14ac:dyDescent="0.25">
      <c r="A11" s="384" t="s">
        <v>91</v>
      </c>
      <c r="B11" s="385"/>
      <c r="C11" s="14">
        <v>0</v>
      </c>
      <c r="D11" s="14">
        <v>0</v>
      </c>
      <c r="E11" s="8"/>
      <c r="F11" s="9"/>
      <c r="G11" s="43"/>
      <c r="H11" s="44"/>
      <c r="I11" s="44"/>
      <c r="J11" s="37"/>
      <c r="K11" s="37"/>
      <c r="L11" s="37"/>
      <c r="M11" s="392"/>
      <c r="N11" s="37"/>
      <c r="O11" s="37"/>
    </row>
    <row r="12" spans="1:15" ht="14.25" customHeight="1" x14ac:dyDescent="0.25">
      <c r="A12" s="384" t="s">
        <v>92</v>
      </c>
      <c r="B12" s="385"/>
      <c r="C12" s="14">
        <v>805138.21</v>
      </c>
      <c r="D12" s="14">
        <v>0</v>
      </c>
      <c r="E12" s="8"/>
      <c r="F12" s="9"/>
      <c r="G12" s="41"/>
      <c r="H12" s="42"/>
      <c r="I12" s="42"/>
      <c r="J12" s="37"/>
      <c r="K12" s="37"/>
      <c r="L12" s="37"/>
      <c r="M12" s="392"/>
      <c r="N12" s="37"/>
      <c r="O12" s="37"/>
    </row>
    <row r="13" spans="1:15" ht="14.25" customHeight="1" x14ac:dyDescent="0.25">
      <c r="A13" s="384" t="s">
        <v>93</v>
      </c>
      <c r="B13" s="385"/>
      <c r="C13" s="14">
        <v>0</v>
      </c>
      <c r="D13" s="14">
        <v>0</v>
      </c>
      <c r="E13" s="8"/>
      <c r="F13" s="9"/>
      <c r="G13" s="41"/>
      <c r="H13" s="42"/>
      <c r="I13" s="42"/>
      <c r="J13" s="37"/>
      <c r="K13" s="37"/>
      <c r="L13" s="37"/>
      <c r="M13" s="37"/>
      <c r="N13" s="37"/>
      <c r="O13" s="37"/>
    </row>
    <row r="14" spans="1:15" ht="14.25" customHeight="1" x14ac:dyDescent="0.25">
      <c r="A14" s="384" t="s">
        <v>94</v>
      </c>
      <c r="B14" s="385"/>
      <c r="C14" s="14">
        <f>18083710365.62-12474547.24</f>
        <v>18071235818.379997</v>
      </c>
      <c r="D14" s="14">
        <f>24763946223.49-13362186.82</f>
        <v>24750584036.670002</v>
      </c>
      <c r="E14" s="8"/>
      <c r="F14" s="9"/>
      <c r="G14" s="41"/>
      <c r="H14" s="42"/>
      <c r="I14" s="42"/>
      <c r="J14" s="37"/>
      <c r="K14" s="37"/>
      <c r="L14" s="37"/>
      <c r="M14" s="37"/>
      <c r="N14" s="37"/>
      <c r="O14" s="37"/>
    </row>
    <row r="15" spans="1:15" ht="14.25" customHeight="1" x14ac:dyDescent="0.25">
      <c r="A15" s="386" t="s">
        <v>95</v>
      </c>
      <c r="B15" s="387"/>
      <c r="C15" s="12">
        <f>SUM(C16:C25)</f>
        <v>3077092019.6700001</v>
      </c>
      <c r="D15" s="12">
        <f>SUM(D16:D25)</f>
        <v>3526556345.6099997</v>
      </c>
      <c r="E15" s="8"/>
      <c r="F15" s="9"/>
      <c r="G15" s="39"/>
      <c r="H15" s="40"/>
      <c r="I15" s="40"/>
      <c r="J15" s="37"/>
      <c r="K15" s="37"/>
      <c r="L15" s="37"/>
      <c r="M15" s="37"/>
      <c r="N15" s="37"/>
      <c r="O15" s="37"/>
    </row>
    <row r="16" spans="1:15" x14ac:dyDescent="0.25">
      <c r="A16" s="384" t="s">
        <v>96</v>
      </c>
      <c r="B16" s="385"/>
      <c r="C16" s="14">
        <v>172749263.59999999</v>
      </c>
      <c r="D16" s="14">
        <v>183851013.52000001</v>
      </c>
      <c r="E16" s="8"/>
      <c r="F16" s="9"/>
      <c r="G16" s="41"/>
      <c r="H16" s="42"/>
      <c r="I16" s="42"/>
      <c r="J16" s="37"/>
      <c r="K16" s="37"/>
      <c r="L16" s="37"/>
      <c r="M16" s="37"/>
      <c r="N16" s="37"/>
      <c r="O16" s="37"/>
    </row>
    <row r="17" spans="1:15" x14ac:dyDescent="0.25">
      <c r="A17" s="384" t="s">
        <v>97</v>
      </c>
      <c r="B17" s="385"/>
      <c r="C17" s="14">
        <v>83564795.920000002</v>
      </c>
      <c r="D17" s="14">
        <v>89985905.079999998</v>
      </c>
      <c r="E17" s="8"/>
      <c r="F17" s="9"/>
      <c r="G17" s="41"/>
      <c r="H17" s="42"/>
      <c r="I17" s="42"/>
      <c r="J17" s="37"/>
      <c r="K17" s="37"/>
      <c r="L17" s="37"/>
      <c r="M17" s="37"/>
      <c r="N17" s="37"/>
      <c r="O17" s="37"/>
    </row>
    <row r="18" spans="1:15" x14ac:dyDescent="0.25">
      <c r="A18" s="384" t="s">
        <v>98</v>
      </c>
      <c r="B18" s="385"/>
      <c r="C18" s="14">
        <v>1072413479.2</v>
      </c>
      <c r="D18" s="14">
        <v>1246619854.8599999</v>
      </c>
      <c r="E18" s="8"/>
      <c r="F18" s="9"/>
      <c r="G18" s="41"/>
      <c r="H18" s="42"/>
      <c r="I18" s="42"/>
      <c r="J18" s="37"/>
      <c r="K18" s="37"/>
      <c r="L18" s="37"/>
      <c r="M18" s="37"/>
      <c r="N18" s="37"/>
      <c r="O18" s="37"/>
    </row>
    <row r="19" spans="1:15" x14ac:dyDescent="0.25">
      <c r="A19" s="384" t="s">
        <v>99</v>
      </c>
      <c r="B19" s="385"/>
      <c r="C19" s="14">
        <f>29513236.06-12308351.22</f>
        <v>17204884.839999996</v>
      </c>
      <c r="D19" s="14">
        <f>33966348.65-13205258.82</f>
        <v>20761089.829999998</v>
      </c>
      <c r="E19" s="8"/>
      <c r="F19" s="9"/>
      <c r="G19" s="41"/>
      <c r="H19" s="42"/>
      <c r="I19" s="42"/>
      <c r="J19" s="37"/>
      <c r="K19" s="37"/>
      <c r="L19" s="37"/>
      <c r="M19" s="37"/>
      <c r="N19" s="37"/>
      <c r="O19" s="37"/>
    </row>
    <row r="20" spans="1:15" x14ac:dyDescent="0.25">
      <c r="A20" s="384" t="s">
        <v>100</v>
      </c>
      <c r="B20" s="385"/>
      <c r="C20" s="14">
        <v>1042500394.95</v>
      </c>
      <c r="D20" s="14">
        <v>1209592518.3499999</v>
      </c>
      <c r="E20" s="8"/>
      <c r="F20" s="9"/>
      <c r="G20" s="41"/>
      <c r="H20" s="42"/>
      <c r="I20" s="42"/>
    </row>
    <row r="21" spans="1:15" ht="14.25" customHeight="1" x14ac:dyDescent="0.25">
      <c r="A21" s="384" t="s">
        <v>101</v>
      </c>
      <c r="B21" s="385"/>
      <c r="C21" s="14">
        <v>219701839.24000001</v>
      </c>
      <c r="D21" s="14">
        <v>256687867.52000001</v>
      </c>
      <c r="E21" s="8"/>
      <c r="F21" s="9"/>
      <c r="G21" s="41"/>
      <c r="H21" s="42"/>
      <c r="I21" s="42"/>
    </row>
    <row r="22" spans="1:15" x14ac:dyDescent="0.25">
      <c r="A22" s="384" t="s">
        <v>102</v>
      </c>
      <c r="B22" s="385"/>
      <c r="C22" s="14">
        <v>31805259.780000001</v>
      </c>
      <c r="D22" s="14">
        <v>38055704.5</v>
      </c>
      <c r="E22" s="8"/>
      <c r="F22" s="9"/>
      <c r="G22" s="41"/>
      <c r="H22" s="42"/>
      <c r="I22" s="42"/>
    </row>
    <row r="23" spans="1:15" ht="14.25" customHeight="1" x14ac:dyDescent="0.25">
      <c r="A23" s="384" t="s">
        <v>103</v>
      </c>
      <c r="B23" s="385"/>
      <c r="C23" s="14">
        <v>803755.02</v>
      </c>
      <c r="D23" s="14">
        <v>0</v>
      </c>
      <c r="E23" s="8"/>
      <c r="F23" s="9"/>
      <c r="G23" s="41"/>
      <c r="H23" s="42"/>
      <c r="I23" s="42"/>
    </row>
    <row r="24" spans="1:15" ht="14.25" customHeight="1" x14ac:dyDescent="0.25">
      <c r="A24" s="384" t="s">
        <v>104</v>
      </c>
      <c r="B24" s="385"/>
      <c r="C24" s="14">
        <f>436394230.62-45883.5</f>
        <v>436348347.12</v>
      </c>
      <c r="D24" s="14">
        <f>481066907.21-64515.26</f>
        <v>481002391.94999999</v>
      </c>
      <c r="E24" s="8"/>
      <c r="F24" s="9"/>
      <c r="G24" s="41"/>
      <c r="H24" s="42"/>
      <c r="I24" s="42"/>
    </row>
    <row r="25" spans="1:15" x14ac:dyDescent="0.25">
      <c r="A25" s="384" t="s">
        <v>105</v>
      </c>
      <c r="B25" s="385"/>
      <c r="C25" s="14">
        <v>0</v>
      </c>
      <c r="D25" s="14">
        <v>0</v>
      </c>
      <c r="E25" s="8"/>
      <c r="F25" s="9"/>
      <c r="G25" s="41"/>
      <c r="H25" s="42"/>
      <c r="I25" s="42"/>
    </row>
    <row r="26" spans="1:15" ht="14.25" customHeight="1" x14ac:dyDescent="0.25">
      <c r="A26" s="386" t="s">
        <v>106</v>
      </c>
      <c r="B26" s="387"/>
      <c r="C26" s="12">
        <f>C8-C15</f>
        <v>15404023109.309996</v>
      </c>
      <c r="D26" s="12">
        <f>D8-D15</f>
        <v>21695176477.900002</v>
      </c>
      <c r="E26" s="8"/>
      <c r="F26" s="9"/>
      <c r="G26" s="39"/>
      <c r="H26" s="40"/>
      <c r="I26" s="40"/>
    </row>
    <row r="27" spans="1:15" ht="14.25" customHeight="1" x14ac:dyDescent="0.25">
      <c r="A27" s="386" t="s">
        <v>107</v>
      </c>
      <c r="B27" s="387"/>
      <c r="C27" s="12">
        <f>SUM(C28:C30)</f>
        <v>798830847.1500001</v>
      </c>
      <c r="D27" s="12">
        <f>SUM(D28:D30)</f>
        <v>685059190.33000004</v>
      </c>
      <c r="E27" s="8"/>
      <c r="F27" s="9"/>
      <c r="G27" s="39"/>
      <c r="H27" s="40"/>
      <c r="I27" s="40"/>
    </row>
    <row r="28" spans="1:15" ht="14.25" customHeight="1" x14ac:dyDescent="0.25">
      <c r="A28" s="384" t="s">
        <v>108</v>
      </c>
      <c r="B28" s="385"/>
      <c r="C28" s="14">
        <v>373013387.35000002</v>
      </c>
      <c r="D28" s="14">
        <v>280956747.31999999</v>
      </c>
      <c r="E28" s="8"/>
      <c r="F28" s="9"/>
      <c r="G28" s="41"/>
      <c r="H28" s="42"/>
      <c r="I28" s="42"/>
    </row>
    <row r="29" spans="1:15" x14ac:dyDescent="0.25">
      <c r="A29" s="384" t="s">
        <v>109</v>
      </c>
      <c r="B29" s="385"/>
      <c r="C29" s="14">
        <v>1257024.68</v>
      </c>
      <c r="D29" s="14">
        <v>1747331.29</v>
      </c>
      <c r="E29" s="8"/>
      <c r="F29" s="9"/>
      <c r="G29" s="43"/>
      <c r="H29" s="44"/>
      <c r="I29" s="44"/>
    </row>
    <row r="30" spans="1:15" x14ac:dyDescent="0.25">
      <c r="A30" s="384" t="s">
        <v>110</v>
      </c>
      <c r="B30" s="385"/>
      <c r="C30" s="14">
        <v>424560435.12</v>
      </c>
      <c r="D30" s="14">
        <v>402355111.72000003</v>
      </c>
      <c r="E30" s="8"/>
      <c r="F30" s="9"/>
      <c r="G30" s="41"/>
      <c r="H30" s="42"/>
      <c r="I30" s="42"/>
    </row>
    <row r="31" spans="1:15" x14ac:dyDescent="0.25">
      <c r="A31" s="386" t="s">
        <v>111</v>
      </c>
      <c r="B31" s="387"/>
      <c r="C31" s="12">
        <f>SUM(C32:C33)</f>
        <v>692302163.88</v>
      </c>
      <c r="D31" s="12">
        <f>SUM(D32:D33)</f>
        <v>1156312229.5899999</v>
      </c>
      <c r="E31" s="8"/>
      <c r="F31" s="9"/>
      <c r="G31" s="39"/>
      <c r="H31" s="40"/>
      <c r="I31" s="40"/>
    </row>
    <row r="32" spans="1:15" ht="47.25" customHeight="1" x14ac:dyDescent="0.25">
      <c r="A32" s="384" t="s">
        <v>112</v>
      </c>
      <c r="B32" s="385"/>
      <c r="C32" s="14">
        <v>0</v>
      </c>
      <c r="D32" s="14">
        <v>0</v>
      </c>
      <c r="E32" s="8"/>
      <c r="F32" s="9"/>
      <c r="G32" s="41"/>
      <c r="H32" s="42"/>
      <c r="I32" s="42"/>
    </row>
    <row r="33" spans="1:9" x14ac:dyDescent="0.25">
      <c r="A33" s="384" t="s">
        <v>113</v>
      </c>
      <c r="B33" s="385"/>
      <c r="C33" s="14">
        <f>692467746.25-165582.37</f>
        <v>692302163.88</v>
      </c>
      <c r="D33" s="14">
        <f>1156469066.1-156836.51</f>
        <v>1156312229.5899999</v>
      </c>
      <c r="E33" s="8"/>
      <c r="F33" s="9"/>
      <c r="G33" s="41"/>
      <c r="H33" s="42"/>
      <c r="I33" s="42"/>
    </row>
    <row r="34" spans="1:9" ht="14.25" customHeight="1" x14ac:dyDescent="0.25">
      <c r="A34" s="386" t="s">
        <v>114</v>
      </c>
      <c r="B34" s="387"/>
      <c r="C34" s="12">
        <f>C26+C27-C31</f>
        <v>15510551792.579996</v>
      </c>
      <c r="D34" s="12">
        <f>D26+D27-D31</f>
        <v>21223923438.640003</v>
      </c>
      <c r="E34" s="8"/>
      <c r="F34" s="9"/>
      <c r="G34" s="39"/>
      <c r="H34" s="40"/>
      <c r="I34" s="40"/>
    </row>
    <row r="35" spans="1:9" x14ac:dyDescent="0.25">
      <c r="A35" s="386" t="s">
        <v>115</v>
      </c>
      <c r="B35" s="387"/>
      <c r="C35" s="12">
        <f>SUM(C36:C38)</f>
        <v>625471314.72000003</v>
      </c>
      <c r="D35" s="12">
        <f>SUM(D36:D38)</f>
        <v>843370103.79999995</v>
      </c>
      <c r="E35" s="8"/>
      <c r="F35" s="9"/>
      <c r="G35" s="39"/>
      <c r="H35" s="40"/>
      <c r="I35" s="40"/>
    </row>
    <row r="36" spans="1:9" x14ac:dyDescent="0.25">
      <c r="A36" s="384" t="s">
        <v>116</v>
      </c>
      <c r="B36" s="385"/>
      <c r="C36" s="14">
        <v>253758.2</v>
      </c>
      <c r="D36" s="14">
        <v>114285.42</v>
      </c>
      <c r="E36" s="8"/>
      <c r="F36" s="9"/>
      <c r="G36" s="41"/>
      <c r="H36" s="42"/>
      <c r="I36" s="42"/>
    </row>
    <row r="37" spans="1:9" x14ac:dyDescent="0.25">
      <c r="A37" s="384" t="s">
        <v>117</v>
      </c>
      <c r="B37" s="385"/>
      <c r="C37" s="14">
        <v>521671061.81999999</v>
      </c>
      <c r="D37" s="14">
        <v>698606178.25999999</v>
      </c>
      <c r="E37" s="8"/>
      <c r="F37" s="9"/>
      <c r="G37" s="41"/>
      <c r="H37" s="42"/>
      <c r="I37" s="42"/>
    </row>
    <row r="38" spans="1:9" x14ac:dyDescent="0.25">
      <c r="A38" s="384" t="s">
        <v>118</v>
      </c>
      <c r="B38" s="385"/>
      <c r="C38" s="14">
        <v>103546494.7</v>
      </c>
      <c r="D38" s="14">
        <v>144649640.12</v>
      </c>
      <c r="E38" s="8"/>
      <c r="F38" s="9"/>
      <c r="G38" s="41"/>
      <c r="H38" s="42"/>
      <c r="I38" s="42"/>
    </row>
    <row r="39" spans="1:9" x14ac:dyDescent="0.25">
      <c r="A39" s="386" t="s">
        <v>119</v>
      </c>
      <c r="B39" s="387"/>
      <c r="C39" s="12">
        <f>SUM(C40:C41)</f>
        <v>1155430093.95</v>
      </c>
      <c r="D39" s="12">
        <f>SUM(D40:D41)</f>
        <v>1348049146.28</v>
      </c>
      <c r="E39" s="8"/>
      <c r="F39" s="9"/>
      <c r="G39" s="39"/>
      <c r="H39" s="40"/>
      <c r="I39" s="40"/>
    </row>
    <row r="40" spans="1:9" x14ac:dyDescent="0.25">
      <c r="A40" s="384" t="s">
        <v>120</v>
      </c>
      <c r="B40" s="385"/>
      <c r="C40" s="14">
        <f>179561180.94-566.19</f>
        <v>179560614.75</v>
      </c>
      <c r="D40" s="14">
        <v>174041289.24000001</v>
      </c>
      <c r="E40" s="8"/>
      <c r="F40" s="9"/>
      <c r="G40" s="41"/>
      <c r="H40" s="42"/>
      <c r="I40" s="42"/>
    </row>
    <row r="41" spans="1:9" x14ac:dyDescent="0.25">
      <c r="A41" s="384" t="s">
        <v>121</v>
      </c>
      <c r="B41" s="385"/>
      <c r="C41" s="14">
        <v>975869479.20000005</v>
      </c>
      <c r="D41" s="14">
        <v>1174007857.04</v>
      </c>
      <c r="E41" s="8"/>
      <c r="F41" s="9"/>
      <c r="G41" s="41"/>
      <c r="H41" s="42"/>
      <c r="I41" s="42"/>
    </row>
    <row r="42" spans="1:9" ht="14.25" customHeight="1" x14ac:dyDescent="0.25">
      <c r="A42" s="386" t="s">
        <v>122</v>
      </c>
      <c r="B42" s="387"/>
      <c r="C42" s="12">
        <f>C34+C35-C39</f>
        <v>14980593013.349995</v>
      </c>
      <c r="D42" s="12">
        <f>D34+D35-D39</f>
        <v>20719244396.160004</v>
      </c>
      <c r="E42" s="8"/>
      <c r="F42" s="9"/>
      <c r="G42" s="39"/>
      <c r="H42" s="40"/>
      <c r="I42" s="40"/>
    </row>
    <row r="43" spans="1:9" x14ac:dyDescent="0.25">
      <c r="A43" s="386" t="s">
        <v>123</v>
      </c>
      <c r="B43" s="387"/>
      <c r="C43" s="14">
        <v>0</v>
      </c>
      <c r="D43" s="14">
        <v>0</v>
      </c>
      <c r="E43" s="8"/>
      <c r="F43" s="9"/>
      <c r="G43" s="41"/>
      <c r="H43" s="42"/>
      <c r="I43" s="42"/>
    </row>
    <row r="44" spans="1:9" ht="28.5" customHeight="1" thickBot="1" x14ac:dyDescent="0.3">
      <c r="A44" s="388" t="s">
        <v>124</v>
      </c>
      <c r="B44" s="389"/>
      <c r="C44" s="45">
        <v>0</v>
      </c>
      <c r="D44" s="45">
        <v>0</v>
      </c>
      <c r="E44" s="8"/>
      <c r="F44" s="9"/>
      <c r="G44" s="43"/>
      <c r="H44" s="44"/>
      <c r="I44" s="40"/>
    </row>
    <row r="45" spans="1:9" ht="15.75" thickBot="1" x14ac:dyDescent="0.3">
      <c r="A45" s="390" t="s">
        <v>125</v>
      </c>
      <c r="B45" s="391"/>
      <c r="C45" s="25">
        <f>C42-C43-C44</f>
        <v>14980593013.349995</v>
      </c>
      <c r="D45" s="25">
        <f>D42-D43-D44</f>
        <v>20719244396.160004</v>
      </c>
      <c r="E45" s="8"/>
      <c r="F45" s="9"/>
      <c r="G45" s="8">
        <f>D45-'[1]Bilans 31.12.2024'!F10</f>
        <v>0</v>
      </c>
      <c r="H45" s="40"/>
      <c r="I45" s="40"/>
    </row>
    <row r="46" spans="1:9" x14ac:dyDescent="0.25">
      <c r="A46" s="381"/>
      <c r="B46" s="381"/>
      <c r="C46" s="381"/>
      <c r="D46" s="381"/>
      <c r="E46" s="8"/>
    </row>
    <row r="47" spans="1:9" x14ac:dyDescent="0.25">
      <c r="A47" s="31"/>
      <c r="B47" s="31"/>
      <c r="C47" s="31"/>
      <c r="D47" s="31"/>
    </row>
    <row r="48" spans="1:9" x14ac:dyDescent="0.25">
      <c r="A48" s="31"/>
      <c r="B48" s="383">
        <v>45747</v>
      </c>
      <c r="C48" s="383"/>
      <c r="D48" s="31"/>
    </row>
    <row r="49" spans="1:4" x14ac:dyDescent="0.25">
      <c r="A49" s="31"/>
      <c r="B49" s="358" t="s">
        <v>126</v>
      </c>
      <c r="C49" s="358"/>
      <c r="D49" s="31"/>
    </row>
    <row r="50" spans="1:4" x14ac:dyDescent="0.25">
      <c r="A50" s="31" t="s">
        <v>127</v>
      </c>
      <c r="B50" s="31"/>
      <c r="C50" s="31"/>
      <c r="D50" s="31" t="s">
        <v>128</v>
      </c>
    </row>
    <row r="51" spans="1:4" x14ac:dyDescent="0.25">
      <c r="A51" s="31" t="s">
        <v>80</v>
      </c>
      <c r="B51" s="31"/>
      <c r="C51" s="31"/>
      <c r="D51" s="31" t="s">
        <v>81</v>
      </c>
    </row>
    <row r="53" spans="1:4" x14ac:dyDescent="0.25">
      <c r="A53" s="46"/>
      <c r="C53" s="8">
        <f>C45-'[1]Bilans 31.12.2024'!E10</f>
        <v>0</v>
      </c>
      <c r="D53" s="8">
        <f>D45-'[1]Bilans 31.12.2024'!F10</f>
        <v>0</v>
      </c>
    </row>
    <row r="56" spans="1:4" x14ac:dyDescent="0.25">
      <c r="A56" s="10"/>
    </row>
    <row r="57" spans="1:4" x14ac:dyDescent="0.25">
      <c r="A57" s="10"/>
    </row>
  </sheetData>
  <mergeCells count="51">
    <mergeCell ref="A1:A4"/>
    <mergeCell ref="B1:C1"/>
    <mergeCell ref="D1:D4"/>
    <mergeCell ref="B2:C2"/>
    <mergeCell ref="B3:C3"/>
    <mergeCell ref="B4:C4"/>
    <mergeCell ref="A15:B15"/>
    <mergeCell ref="B5:C6"/>
    <mergeCell ref="A7:B7"/>
    <mergeCell ref="A8:B8"/>
    <mergeCell ref="A9:B9"/>
    <mergeCell ref="A10:B10"/>
    <mergeCell ref="M10:M12"/>
    <mergeCell ref="A11:B11"/>
    <mergeCell ref="A12:B12"/>
    <mergeCell ref="A13:B13"/>
    <mergeCell ref="A14:B14"/>
    <mergeCell ref="J10:K10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D46"/>
    <mergeCell ref="B48:C48"/>
    <mergeCell ref="B49:C49"/>
    <mergeCell ref="A40:B40"/>
    <mergeCell ref="A41:B41"/>
    <mergeCell ref="A42:B42"/>
    <mergeCell ref="A43:B43"/>
    <mergeCell ref="A44:B44"/>
    <mergeCell ref="A45:B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D34" sqref="D34"/>
    </sheetView>
  </sheetViews>
  <sheetFormatPr defaultColWidth="9.140625" defaultRowHeight="15" x14ac:dyDescent="0.25"/>
  <cols>
    <col min="1" max="1" width="32.5703125" style="2" customWidth="1"/>
    <col min="2" max="2" width="29.85546875" style="2" customWidth="1"/>
    <col min="3" max="3" width="24" style="2" customWidth="1"/>
    <col min="4" max="4" width="23.28515625" style="2" customWidth="1"/>
    <col min="5" max="6" width="17" style="29" bestFit="1" customWidth="1"/>
    <col min="7" max="7" width="17" style="1" bestFit="1" customWidth="1"/>
    <col min="8" max="8" width="9.140625" style="29"/>
    <col min="9" max="16384" width="9.140625" style="2"/>
  </cols>
  <sheetData>
    <row r="1" spans="1:7" ht="13.9" customHeight="1" x14ac:dyDescent="0.25">
      <c r="A1" s="360" t="s">
        <v>129</v>
      </c>
      <c r="B1" s="406" t="s">
        <v>130</v>
      </c>
      <c r="C1" s="407"/>
      <c r="D1" s="360" t="s">
        <v>131</v>
      </c>
    </row>
    <row r="2" spans="1:7" x14ac:dyDescent="0.25">
      <c r="A2" s="361"/>
      <c r="B2" s="408"/>
      <c r="C2" s="409"/>
      <c r="D2" s="361"/>
    </row>
    <row r="3" spans="1:7" ht="60" customHeight="1" x14ac:dyDescent="0.25">
      <c r="A3" s="361"/>
      <c r="B3" s="410" t="s">
        <v>132</v>
      </c>
      <c r="C3" s="411"/>
      <c r="D3" s="361"/>
    </row>
    <row r="4" spans="1:7" x14ac:dyDescent="0.25">
      <c r="A4" s="3" t="s">
        <v>3</v>
      </c>
      <c r="B4" s="375"/>
      <c r="C4" s="377"/>
      <c r="D4" s="412"/>
    </row>
    <row r="5" spans="1:7" ht="15.75" thickBot="1" x14ac:dyDescent="0.3">
      <c r="A5" s="4" t="s">
        <v>4</v>
      </c>
      <c r="B5" s="378"/>
      <c r="C5" s="380"/>
      <c r="D5" s="413"/>
    </row>
    <row r="6" spans="1:7" ht="30.75" thickBot="1" x14ac:dyDescent="0.3">
      <c r="A6" s="393"/>
      <c r="B6" s="394"/>
      <c r="C6" s="5" t="s">
        <v>86</v>
      </c>
      <c r="D6" s="36" t="s">
        <v>87</v>
      </c>
    </row>
    <row r="7" spans="1:7" x14ac:dyDescent="0.25">
      <c r="A7" s="395" t="s">
        <v>133</v>
      </c>
      <c r="B7" s="396"/>
      <c r="C7" s="38">
        <v>2217296800.8400002</v>
      </c>
      <c r="D7" s="38">
        <v>3530789348.48</v>
      </c>
      <c r="E7" s="9"/>
      <c r="F7" s="9"/>
      <c r="G7" s="8"/>
    </row>
    <row r="8" spans="1:7" x14ac:dyDescent="0.25">
      <c r="A8" s="386" t="s">
        <v>134</v>
      </c>
      <c r="B8" s="387"/>
      <c r="C8" s="12">
        <f>SUM(C9:C18)</f>
        <v>26684897717.530003</v>
      </c>
      <c r="D8" s="12">
        <f>SUM(D9:D18)</f>
        <v>28176485322.180004</v>
      </c>
      <c r="E8" s="9"/>
      <c r="F8" s="9"/>
      <c r="G8" s="8"/>
    </row>
    <row r="9" spans="1:7" x14ac:dyDescent="0.25">
      <c r="A9" s="384" t="s">
        <v>135</v>
      </c>
      <c r="B9" s="385"/>
      <c r="C9" s="14">
        <f>16454288263.04-1798060966.5</f>
        <v>14656227296.540001</v>
      </c>
      <c r="D9" s="14">
        <f>16073138418.7-1092545405.35</f>
        <v>14980593013.35</v>
      </c>
      <c r="E9" s="9"/>
      <c r="F9" s="9"/>
      <c r="G9" s="8"/>
    </row>
    <row r="10" spans="1:7" x14ac:dyDescent="0.25">
      <c r="A10" s="384" t="s">
        <v>136</v>
      </c>
      <c r="B10" s="385"/>
      <c r="C10" s="14">
        <v>9860211510.8700008</v>
      </c>
      <c r="D10" s="14">
        <v>11135130365.950001</v>
      </c>
      <c r="E10" s="9"/>
      <c r="F10" s="9"/>
      <c r="G10" s="8"/>
    </row>
    <row r="11" spans="1:7" x14ac:dyDescent="0.25">
      <c r="A11" s="384" t="s">
        <v>137</v>
      </c>
      <c r="B11" s="385"/>
      <c r="C11" s="14">
        <v>0</v>
      </c>
      <c r="D11" s="14">
        <v>141806.91</v>
      </c>
      <c r="E11" s="9"/>
      <c r="F11" s="9"/>
      <c r="G11" s="8"/>
    </row>
    <row r="12" spans="1:7" x14ac:dyDescent="0.25">
      <c r="A12" s="384" t="s">
        <v>138</v>
      </c>
      <c r="B12" s="385"/>
      <c r="C12" s="14">
        <v>1041895716.54</v>
      </c>
      <c r="D12" s="14">
        <v>777872910.95000005</v>
      </c>
      <c r="E12" s="9"/>
      <c r="F12" s="9"/>
      <c r="G12" s="8"/>
    </row>
    <row r="13" spans="1:7" x14ac:dyDescent="0.25">
      <c r="A13" s="384" t="s">
        <v>139</v>
      </c>
      <c r="B13" s="385"/>
      <c r="C13" s="14">
        <v>0</v>
      </c>
      <c r="D13" s="14">
        <v>0</v>
      </c>
      <c r="E13" s="9"/>
      <c r="F13" s="9"/>
      <c r="G13" s="8"/>
    </row>
    <row r="14" spans="1:7" ht="27" customHeight="1" x14ac:dyDescent="0.25">
      <c r="A14" s="384" t="s">
        <v>140</v>
      </c>
      <c r="B14" s="385"/>
      <c r="C14" s="14">
        <f>61264936.91-16359504.16</f>
        <v>44905432.75</v>
      </c>
      <c r="D14" s="14">
        <f>56541963-2713905.25</f>
        <v>53828057.75</v>
      </c>
      <c r="E14" s="9"/>
      <c r="F14" s="9"/>
      <c r="G14" s="8"/>
    </row>
    <row r="15" spans="1:7" ht="28.5" customHeight="1" x14ac:dyDescent="0.25">
      <c r="A15" s="384" t="s">
        <v>141</v>
      </c>
      <c r="B15" s="385"/>
      <c r="C15" s="14">
        <v>0</v>
      </c>
      <c r="D15" s="14">
        <v>0</v>
      </c>
      <c r="E15" s="9"/>
      <c r="F15" s="9"/>
      <c r="G15" s="8"/>
    </row>
    <row r="16" spans="1:7" x14ac:dyDescent="0.25">
      <c r="A16" s="384" t="s">
        <v>142</v>
      </c>
      <c r="B16" s="385"/>
      <c r="C16" s="14">
        <f>1074008.94-1053864</f>
        <v>20144.939999999944</v>
      </c>
      <c r="D16" s="14">
        <f>673050.44-663698.64</f>
        <v>9351.7999999999302</v>
      </c>
      <c r="E16" s="9"/>
      <c r="F16" s="9"/>
      <c r="G16" s="8"/>
    </row>
    <row r="17" spans="1:7" x14ac:dyDescent="0.25">
      <c r="A17" s="384" t="s">
        <v>143</v>
      </c>
      <c r="B17" s="385"/>
      <c r="C17" s="14">
        <v>0</v>
      </c>
      <c r="D17" s="14">
        <v>0</v>
      </c>
      <c r="E17" s="9"/>
      <c r="F17" s="9"/>
      <c r="G17" s="8"/>
    </row>
    <row r="18" spans="1:7" x14ac:dyDescent="0.25">
      <c r="A18" s="384" t="s">
        <v>144</v>
      </c>
      <c r="B18" s="385"/>
      <c r="C18" s="14">
        <f>1083356825.46-1719209.57</f>
        <v>1081637615.8900001</v>
      </c>
      <c r="D18" s="14">
        <f>1242527328.7-13617513.23</f>
        <v>1228909815.47</v>
      </c>
      <c r="E18" s="9"/>
      <c r="F18" s="9"/>
      <c r="G18" s="8"/>
    </row>
    <row r="19" spans="1:7" x14ac:dyDescent="0.25">
      <c r="A19" s="386" t="s">
        <v>145</v>
      </c>
      <c r="B19" s="387"/>
      <c r="C19" s="12">
        <f>SUM(C20:C28)</f>
        <v>25371405169.890003</v>
      </c>
      <c r="D19" s="12">
        <f>SUM(D20:D28)</f>
        <v>32911386259.869999</v>
      </c>
      <c r="E19" s="9"/>
      <c r="F19" s="9"/>
      <c r="G19" s="8"/>
    </row>
    <row r="20" spans="1:7" x14ac:dyDescent="0.25">
      <c r="A20" s="384" t="s">
        <v>146</v>
      </c>
      <c r="B20" s="385"/>
      <c r="C20" s="14">
        <v>0</v>
      </c>
      <c r="D20" s="14">
        <v>0</v>
      </c>
      <c r="E20" s="9"/>
      <c r="F20" s="9"/>
      <c r="G20" s="8"/>
    </row>
    <row r="21" spans="1:7" x14ac:dyDescent="0.25">
      <c r="A21" s="384" t="s">
        <v>147</v>
      </c>
      <c r="B21" s="385"/>
      <c r="C21" s="14">
        <v>18985167924.009998</v>
      </c>
      <c r="D21" s="14">
        <v>25370215029.610001</v>
      </c>
      <c r="E21" s="9"/>
      <c r="F21" s="9"/>
      <c r="G21" s="8"/>
    </row>
    <row r="22" spans="1:7" x14ac:dyDescent="0.25">
      <c r="A22" s="384" t="s">
        <v>148</v>
      </c>
      <c r="B22" s="385"/>
      <c r="C22" s="14">
        <v>0</v>
      </c>
      <c r="D22" s="14">
        <v>0</v>
      </c>
      <c r="E22" s="9"/>
      <c r="F22" s="9"/>
      <c r="G22" s="8"/>
    </row>
    <row r="23" spans="1:7" x14ac:dyDescent="0.25">
      <c r="A23" s="384" t="s">
        <v>149</v>
      </c>
      <c r="B23" s="385"/>
      <c r="C23" s="14">
        <v>5403390333.2399998</v>
      </c>
      <c r="D23" s="14">
        <v>6470328799.0500002</v>
      </c>
      <c r="E23" s="9"/>
      <c r="F23" s="9"/>
      <c r="G23" s="8"/>
    </row>
    <row r="24" spans="1:7" x14ac:dyDescent="0.25">
      <c r="A24" s="384" t="s">
        <v>150</v>
      </c>
      <c r="B24" s="385"/>
      <c r="C24" s="14">
        <v>0</v>
      </c>
      <c r="D24" s="14">
        <v>0</v>
      </c>
      <c r="E24" s="9"/>
      <c r="F24" s="9"/>
      <c r="G24" s="8"/>
    </row>
    <row r="25" spans="1:7" ht="49.5" customHeight="1" x14ac:dyDescent="0.25">
      <c r="A25" s="384" t="s">
        <v>151</v>
      </c>
      <c r="B25" s="385"/>
      <c r="C25" s="14">
        <f>169869947.93-16359504.16</f>
        <v>153510443.77000001</v>
      </c>
      <c r="D25" s="14">
        <f>375875933.85-2713905.25</f>
        <v>373162028.60000002</v>
      </c>
      <c r="E25" s="9"/>
      <c r="F25" s="9"/>
      <c r="G25" s="8"/>
    </row>
    <row r="26" spans="1:7" ht="24.75" customHeight="1" x14ac:dyDescent="0.25">
      <c r="A26" s="384" t="s">
        <v>152</v>
      </c>
      <c r="B26" s="385"/>
      <c r="C26" s="14">
        <v>6395.11</v>
      </c>
      <c r="D26" s="14">
        <v>0</v>
      </c>
      <c r="E26" s="9"/>
      <c r="F26" s="9"/>
      <c r="G26" s="8"/>
    </row>
    <row r="27" spans="1:7" x14ac:dyDescent="0.25">
      <c r="A27" s="384" t="s">
        <v>153</v>
      </c>
      <c r="B27" s="385"/>
      <c r="C27" s="14">
        <f>2379597.24-1053864</f>
        <v>1325733.2400000002</v>
      </c>
      <c r="D27" s="14">
        <f>952251.96-663698.64</f>
        <v>288553.31999999995</v>
      </c>
      <c r="E27" s="9"/>
      <c r="F27" s="9"/>
      <c r="G27" s="8"/>
    </row>
    <row r="28" spans="1:7" x14ac:dyDescent="0.25">
      <c r="A28" s="384" t="s">
        <v>154</v>
      </c>
      <c r="B28" s="385"/>
      <c r="C28" s="14">
        <f>829723550.09-1719209.57</f>
        <v>828004340.51999998</v>
      </c>
      <c r="D28" s="14">
        <f>711009362.52-13617513.23</f>
        <v>697391849.28999996</v>
      </c>
      <c r="E28" s="9"/>
      <c r="F28" s="9"/>
      <c r="G28" s="8"/>
    </row>
    <row r="29" spans="1:7" x14ac:dyDescent="0.25">
      <c r="A29" s="386" t="s">
        <v>155</v>
      </c>
      <c r="B29" s="387"/>
      <c r="C29" s="12">
        <f>C7+C8-C19</f>
        <v>3530789348.4799995</v>
      </c>
      <c r="D29" s="12">
        <f>D7+D8-D19</f>
        <v>-1204111589.2099953</v>
      </c>
      <c r="E29" s="9"/>
      <c r="F29" s="9"/>
      <c r="G29" s="8">
        <f>D29-'[1]Bilans 31.12.2024'!F9</f>
        <v>4.76837158203125E-6</v>
      </c>
    </row>
    <row r="30" spans="1:7" x14ac:dyDescent="0.25">
      <c r="A30" s="386" t="s">
        <v>156</v>
      </c>
      <c r="B30" s="387"/>
      <c r="C30" s="12">
        <f>C31+C32-C33</f>
        <v>14980593013.35</v>
      </c>
      <c r="D30" s="12">
        <f>D31+D32-D33</f>
        <v>20719244396.16</v>
      </c>
      <c r="E30" s="9"/>
      <c r="F30" s="9"/>
      <c r="G30" s="8">
        <f>D30-'[1]RZiS 31.12.2024'!D45</f>
        <v>0</v>
      </c>
    </row>
    <row r="31" spans="1:7" x14ac:dyDescent="0.25">
      <c r="A31" s="384" t="s">
        <v>157</v>
      </c>
      <c r="B31" s="385"/>
      <c r="C31" s="14">
        <f>16073138418.7-1092545405.35</f>
        <v>14980593013.35</v>
      </c>
      <c r="D31" s="14">
        <f>22000313486.31-1281069090.15</f>
        <v>20719244396.16</v>
      </c>
      <c r="E31" s="9"/>
      <c r="F31" s="9"/>
      <c r="G31" s="8"/>
    </row>
    <row r="32" spans="1:7" x14ac:dyDescent="0.25">
      <c r="A32" s="384" t="s">
        <v>158</v>
      </c>
      <c r="B32" s="385"/>
      <c r="C32" s="14">
        <v>0</v>
      </c>
      <c r="D32" s="14">
        <v>0</v>
      </c>
      <c r="E32" s="9"/>
      <c r="F32" s="9"/>
      <c r="G32" s="8"/>
    </row>
    <row r="33" spans="1:7" ht="15.75" thickBot="1" x14ac:dyDescent="0.3">
      <c r="A33" s="404" t="s">
        <v>159</v>
      </c>
      <c r="B33" s="405"/>
      <c r="C33" s="45">
        <v>0</v>
      </c>
      <c r="D33" s="45">
        <v>0</v>
      </c>
      <c r="E33" s="9"/>
      <c r="F33" s="9"/>
      <c r="G33" s="8"/>
    </row>
    <row r="34" spans="1:7" ht="15.75" thickBot="1" x14ac:dyDescent="0.3">
      <c r="A34" s="390" t="s">
        <v>160</v>
      </c>
      <c r="B34" s="391"/>
      <c r="C34" s="25">
        <f>C29+C30</f>
        <v>18511382361.830002</v>
      </c>
      <c r="D34" s="25">
        <f>D29+D30</f>
        <v>19515132806.950005</v>
      </c>
      <c r="E34" s="9"/>
      <c r="F34" s="9"/>
      <c r="G34" s="8"/>
    </row>
    <row r="35" spans="1:7" x14ac:dyDescent="0.25">
      <c r="A35" s="403"/>
      <c r="B35" s="403"/>
      <c r="C35" s="402"/>
      <c r="D35" s="402"/>
    </row>
    <row r="36" spans="1:7" x14ac:dyDescent="0.25">
      <c r="A36" s="403"/>
      <c r="B36" s="403"/>
      <c r="C36" s="403"/>
      <c r="D36" s="403"/>
    </row>
    <row r="37" spans="1:7" x14ac:dyDescent="0.25">
      <c r="A37" s="381"/>
      <c r="B37" s="381"/>
      <c r="C37" s="381"/>
      <c r="D37" s="381"/>
    </row>
    <row r="38" spans="1:7" x14ac:dyDescent="0.25">
      <c r="A38" s="31"/>
      <c r="B38" s="31"/>
      <c r="C38" s="31"/>
      <c r="D38" s="31"/>
    </row>
    <row r="39" spans="1:7" x14ac:dyDescent="0.25">
      <c r="A39" s="31"/>
      <c r="B39" s="383">
        <v>45747</v>
      </c>
      <c r="C39" s="383"/>
      <c r="D39" s="31"/>
    </row>
    <row r="40" spans="1:7" x14ac:dyDescent="0.25">
      <c r="A40" s="31"/>
      <c r="B40" s="358" t="s">
        <v>126</v>
      </c>
      <c r="C40" s="358"/>
      <c r="D40" s="31"/>
    </row>
    <row r="41" spans="1:7" ht="30" x14ac:dyDescent="0.25">
      <c r="A41" s="31" t="s">
        <v>161</v>
      </c>
      <c r="B41" s="31"/>
      <c r="C41" s="31"/>
      <c r="D41" s="31" t="s">
        <v>79</v>
      </c>
    </row>
    <row r="42" spans="1:7" x14ac:dyDescent="0.25">
      <c r="A42" s="31" t="s">
        <v>80</v>
      </c>
      <c r="B42" s="31"/>
      <c r="C42" s="31"/>
      <c r="D42" s="31" t="s">
        <v>81</v>
      </c>
    </row>
    <row r="45" spans="1:7" x14ac:dyDescent="0.25">
      <c r="A45" s="32"/>
    </row>
    <row r="48" spans="1:7" x14ac:dyDescent="0.25">
      <c r="A48" s="33"/>
    </row>
  </sheetData>
  <mergeCells count="41">
    <mergeCell ref="A1:A3"/>
    <mergeCell ref="B1:C2"/>
    <mergeCell ref="D1:D3"/>
    <mergeCell ref="B3:C3"/>
    <mergeCell ref="B4:C5"/>
    <mergeCell ref="D4:D5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C35:D35"/>
    <mergeCell ref="A36:D36"/>
    <mergeCell ref="A37:D37"/>
    <mergeCell ref="B39:C39"/>
    <mergeCell ref="B40:C40"/>
    <mergeCell ref="A35:B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94"/>
  <sheetViews>
    <sheetView view="pageLayout" topLeftCell="A659" zoomScaleNormal="100" workbookViewId="0">
      <selection activeCell="E693" sqref="E693"/>
    </sheetView>
  </sheetViews>
  <sheetFormatPr defaultRowHeight="12.75" x14ac:dyDescent="0.25"/>
  <cols>
    <col min="1" max="1" width="22.85546875" style="50" customWidth="1"/>
    <col min="2" max="2" width="21.28515625" style="50" customWidth="1"/>
    <col min="3" max="3" width="19" style="50" customWidth="1"/>
    <col min="4" max="4" width="18" style="50" customWidth="1"/>
    <col min="5" max="5" width="19.7109375" style="50" customWidth="1"/>
    <col min="6" max="6" width="16.140625" style="50" customWidth="1"/>
    <col min="7" max="7" width="16.42578125" style="50" customWidth="1"/>
    <col min="8" max="8" width="14.85546875" style="50" customWidth="1"/>
    <col min="9" max="9" width="16.140625" style="50" customWidth="1"/>
    <col min="10" max="10" width="33" style="50" customWidth="1"/>
    <col min="11" max="11" width="18.28515625" style="50" customWidth="1"/>
    <col min="12" max="256" width="9.140625" style="50"/>
    <col min="257" max="257" width="22.85546875" style="50" customWidth="1"/>
    <col min="258" max="258" width="19.140625" style="50" customWidth="1"/>
    <col min="259" max="259" width="20" style="50" customWidth="1"/>
    <col min="260" max="260" width="18" style="50" customWidth="1"/>
    <col min="261" max="261" width="19.7109375" style="50" customWidth="1"/>
    <col min="262" max="262" width="16.140625" style="50" customWidth="1"/>
    <col min="263" max="263" width="16.42578125" style="50" customWidth="1"/>
    <col min="264" max="264" width="12.140625" style="50" customWidth="1"/>
    <col min="265" max="265" width="13.140625" style="50" customWidth="1"/>
    <col min="266" max="266" width="13.7109375" style="50" customWidth="1"/>
    <col min="267" max="267" width="18.28515625" style="50" customWidth="1"/>
    <col min="268" max="512" width="9.140625" style="50"/>
    <col min="513" max="513" width="22.85546875" style="50" customWidth="1"/>
    <col min="514" max="514" width="19.140625" style="50" customWidth="1"/>
    <col min="515" max="515" width="20" style="50" customWidth="1"/>
    <col min="516" max="516" width="18" style="50" customWidth="1"/>
    <col min="517" max="517" width="19.7109375" style="50" customWidth="1"/>
    <col min="518" max="518" width="16.140625" style="50" customWidth="1"/>
    <col min="519" max="519" width="16.42578125" style="50" customWidth="1"/>
    <col min="520" max="520" width="12.140625" style="50" customWidth="1"/>
    <col min="521" max="521" width="13.140625" style="50" customWidth="1"/>
    <col min="522" max="522" width="13.7109375" style="50" customWidth="1"/>
    <col min="523" max="523" width="18.28515625" style="50" customWidth="1"/>
    <col min="524" max="768" width="9.140625" style="50"/>
    <col min="769" max="769" width="22.85546875" style="50" customWidth="1"/>
    <col min="770" max="770" width="19.140625" style="50" customWidth="1"/>
    <col min="771" max="771" width="20" style="50" customWidth="1"/>
    <col min="772" max="772" width="18" style="50" customWidth="1"/>
    <col min="773" max="773" width="19.7109375" style="50" customWidth="1"/>
    <col min="774" max="774" width="16.140625" style="50" customWidth="1"/>
    <col min="775" max="775" width="16.42578125" style="50" customWidth="1"/>
    <col min="776" max="776" width="12.140625" style="50" customWidth="1"/>
    <col min="777" max="777" width="13.140625" style="50" customWidth="1"/>
    <col min="778" max="778" width="13.7109375" style="50" customWidth="1"/>
    <col min="779" max="779" width="18.28515625" style="50" customWidth="1"/>
    <col min="780" max="1024" width="9.140625" style="50"/>
    <col min="1025" max="1025" width="22.85546875" style="50" customWidth="1"/>
    <col min="1026" max="1026" width="19.140625" style="50" customWidth="1"/>
    <col min="1027" max="1027" width="20" style="50" customWidth="1"/>
    <col min="1028" max="1028" width="18" style="50" customWidth="1"/>
    <col min="1029" max="1029" width="19.7109375" style="50" customWidth="1"/>
    <col min="1030" max="1030" width="16.140625" style="50" customWidth="1"/>
    <col min="1031" max="1031" width="16.42578125" style="50" customWidth="1"/>
    <col min="1032" max="1032" width="12.140625" style="50" customWidth="1"/>
    <col min="1033" max="1033" width="13.140625" style="50" customWidth="1"/>
    <col min="1034" max="1034" width="13.7109375" style="50" customWidth="1"/>
    <col min="1035" max="1035" width="18.28515625" style="50" customWidth="1"/>
    <col min="1036" max="1280" width="9.140625" style="50"/>
    <col min="1281" max="1281" width="22.85546875" style="50" customWidth="1"/>
    <col min="1282" max="1282" width="19.140625" style="50" customWidth="1"/>
    <col min="1283" max="1283" width="20" style="50" customWidth="1"/>
    <col min="1284" max="1284" width="18" style="50" customWidth="1"/>
    <col min="1285" max="1285" width="19.7109375" style="50" customWidth="1"/>
    <col min="1286" max="1286" width="16.140625" style="50" customWidth="1"/>
    <col min="1287" max="1287" width="16.42578125" style="50" customWidth="1"/>
    <col min="1288" max="1288" width="12.140625" style="50" customWidth="1"/>
    <col min="1289" max="1289" width="13.140625" style="50" customWidth="1"/>
    <col min="1290" max="1290" width="13.7109375" style="50" customWidth="1"/>
    <col min="1291" max="1291" width="18.28515625" style="50" customWidth="1"/>
    <col min="1292" max="1536" width="9.140625" style="50"/>
    <col min="1537" max="1537" width="22.85546875" style="50" customWidth="1"/>
    <col min="1538" max="1538" width="19.140625" style="50" customWidth="1"/>
    <col min="1539" max="1539" width="20" style="50" customWidth="1"/>
    <col min="1540" max="1540" width="18" style="50" customWidth="1"/>
    <col min="1541" max="1541" width="19.7109375" style="50" customWidth="1"/>
    <col min="1542" max="1542" width="16.140625" style="50" customWidth="1"/>
    <col min="1543" max="1543" width="16.42578125" style="50" customWidth="1"/>
    <col min="1544" max="1544" width="12.140625" style="50" customWidth="1"/>
    <col min="1545" max="1545" width="13.140625" style="50" customWidth="1"/>
    <col min="1546" max="1546" width="13.7109375" style="50" customWidth="1"/>
    <col min="1547" max="1547" width="18.28515625" style="50" customWidth="1"/>
    <col min="1548" max="1792" width="9.140625" style="50"/>
    <col min="1793" max="1793" width="22.85546875" style="50" customWidth="1"/>
    <col min="1794" max="1794" width="19.140625" style="50" customWidth="1"/>
    <col min="1795" max="1795" width="20" style="50" customWidth="1"/>
    <col min="1796" max="1796" width="18" style="50" customWidth="1"/>
    <col min="1797" max="1797" width="19.7109375" style="50" customWidth="1"/>
    <col min="1798" max="1798" width="16.140625" style="50" customWidth="1"/>
    <col min="1799" max="1799" width="16.42578125" style="50" customWidth="1"/>
    <col min="1800" max="1800" width="12.140625" style="50" customWidth="1"/>
    <col min="1801" max="1801" width="13.140625" style="50" customWidth="1"/>
    <col min="1802" max="1802" width="13.7109375" style="50" customWidth="1"/>
    <col min="1803" max="1803" width="18.28515625" style="50" customWidth="1"/>
    <col min="1804" max="2048" width="9.140625" style="50"/>
    <col min="2049" max="2049" width="22.85546875" style="50" customWidth="1"/>
    <col min="2050" max="2050" width="19.140625" style="50" customWidth="1"/>
    <col min="2051" max="2051" width="20" style="50" customWidth="1"/>
    <col min="2052" max="2052" width="18" style="50" customWidth="1"/>
    <col min="2053" max="2053" width="19.7109375" style="50" customWidth="1"/>
    <col min="2054" max="2054" width="16.140625" style="50" customWidth="1"/>
    <col min="2055" max="2055" width="16.42578125" style="50" customWidth="1"/>
    <col min="2056" max="2056" width="12.140625" style="50" customWidth="1"/>
    <col min="2057" max="2057" width="13.140625" style="50" customWidth="1"/>
    <col min="2058" max="2058" width="13.7109375" style="50" customWidth="1"/>
    <col min="2059" max="2059" width="18.28515625" style="50" customWidth="1"/>
    <col min="2060" max="2304" width="9.140625" style="50"/>
    <col min="2305" max="2305" width="22.85546875" style="50" customWidth="1"/>
    <col min="2306" max="2306" width="19.140625" style="50" customWidth="1"/>
    <col min="2307" max="2307" width="20" style="50" customWidth="1"/>
    <col min="2308" max="2308" width="18" style="50" customWidth="1"/>
    <col min="2309" max="2309" width="19.7109375" style="50" customWidth="1"/>
    <col min="2310" max="2310" width="16.140625" style="50" customWidth="1"/>
    <col min="2311" max="2311" width="16.42578125" style="50" customWidth="1"/>
    <col min="2312" max="2312" width="12.140625" style="50" customWidth="1"/>
    <col min="2313" max="2313" width="13.140625" style="50" customWidth="1"/>
    <col min="2314" max="2314" width="13.7109375" style="50" customWidth="1"/>
    <col min="2315" max="2315" width="18.28515625" style="50" customWidth="1"/>
    <col min="2316" max="2560" width="9.140625" style="50"/>
    <col min="2561" max="2561" width="22.85546875" style="50" customWidth="1"/>
    <col min="2562" max="2562" width="19.140625" style="50" customWidth="1"/>
    <col min="2563" max="2563" width="20" style="50" customWidth="1"/>
    <col min="2564" max="2564" width="18" style="50" customWidth="1"/>
    <col min="2565" max="2565" width="19.7109375" style="50" customWidth="1"/>
    <col min="2566" max="2566" width="16.140625" style="50" customWidth="1"/>
    <col min="2567" max="2567" width="16.42578125" style="50" customWidth="1"/>
    <col min="2568" max="2568" width="12.140625" style="50" customWidth="1"/>
    <col min="2569" max="2569" width="13.140625" style="50" customWidth="1"/>
    <col min="2570" max="2570" width="13.7109375" style="50" customWidth="1"/>
    <col min="2571" max="2571" width="18.28515625" style="50" customWidth="1"/>
    <col min="2572" max="2816" width="9.140625" style="50"/>
    <col min="2817" max="2817" width="22.85546875" style="50" customWidth="1"/>
    <col min="2818" max="2818" width="19.140625" style="50" customWidth="1"/>
    <col min="2819" max="2819" width="20" style="50" customWidth="1"/>
    <col min="2820" max="2820" width="18" style="50" customWidth="1"/>
    <col min="2821" max="2821" width="19.7109375" style="50" customWidth="1"/>
    <col min="2822" max="2822" width="16.140625" style="50" customWidth="1"/>
    <col min="2823" max="2823" width="16.42578125" style="50" customWidth="1"/>
    <col min="2824" max="2824" width="12.140625" style="50" customWidth="1"/>
    <col min="2825" max="2825" width="13.140625" style="50" customWidth="1"/>
    <col min="2826" max="2826" width="13.7109375" style="50" customWidth="1"/>
    <col min="2827" max="2827" width="18.28515625" style="50" customWidth="1"/>
    <col min="2828" max="3072" width="9.140625" style="50"/>
    <col min="3073" max="3073" width="22.85546875" style="50" customWidth="1"/>
    <col min="3074" max="3074" width="19.140625" style="50" customWidth="1"/>
    <col min="3075" max="3075" width="20" style="50" customWidth="1"/>
    <col min="3076" max="3076" width="18" style="50" customWidth="1"/>
    <col min="3077" max="3077" width="19.7109375" style="50" customWidth="1"/>
    <col min="3078" max="3078" width="16.140625" style="50" customWidth="1"/>
    <col min="3079" max="3079" width="16.42578125" style="50" customWidth="1"/>
    <col min="3080" max="3080" width="12.140625" style="50" customWidth="1"/>
    <col min="3081" max="3081" width="13.140625" style="50" customWidth="1"/>
    <col min="3082" max="3082" width="13.7109375" style="50" customWidth="1"/>
    <col min="3083" max="3083" width="18.28515625" style="50" customWidth="1"/>
    <col min="3084" max="3328" width="9.140625" style="50"/>
    <col min="3329" max="3329" width="22.85546875" style="50" customWidth="1"/>
    <col min="3330" max="3330" width="19.140625" style="50" customWidth="1"/>
    <col min="3331" max="3331" width="20" style="50" customWidth="1"/>
    <col min="3332" max="3332" width="18" style="50" customWidth="1"/>
    <col min="3333" max="3333" width="19.7109375" style="50" customWidth="1"/>
    <col min="3334" max="3334" width="16.140625" style="50" customWidth="1"/>
    <col min="3335" max="3335" width="16.42578125" style="50" customWidth="1"/>
    <col min="3336" max="3336" width="12.140625" style="50" customWidth="1"/>
    <col min="3337" max="3337" width="13.140625" style="50" customWidth="1"/>
    <col min="3338" max="3338" width="13.7109375" style="50" customWidth="1"/>
    <col min="3339" max="3339" width="18.28515625" style="50" customWidth="1"/>
    <col min="3340" max="3584" width="9.140625" style="50"/>
    <col min="3585" max="3585" width="22.85546875" style="50" customWidth="1"/>
    <col min="3586" max="3586" width="19.140625" style="50" customWidth="1"/>
    <col min="3587" max="3587" width="20" style="50" customWidth="1"/>
    <col min="3588" max="3588" width="18" style="50" customWidth="1"/>
    <col min="3589" max="3589" width="19.7109375" style="50" customWidth="1"/>
    <col min="3590" max="3590" width="16.140625" style="50" customWidth="1"/>
    <col min="3591" max="3591" width="16.42578125" style="50" customWidth="1"/>
    <col min="3592" max="3592" width="12.140625" style="50" customWidth="1"/>
    <col min="3593" max="3593" width="13.140625" style="50" customWidth="1"/>
    <col min="3594" max="3594" width="13.7109375" style="50" customWidth="1"/>
    <col min="3595" max="3595" width="18.28515625" style="50" customWidth="1"/>
    <col min="3596" max="3840" width="9.140625" style="50"/>
    <col min="3841" max="3841" width="22.85546875" style="50" customWidth="1"/>
    <col min="3842" max="3842" width="19.140625" style="50" customWidth="1"/>
    <col min="3843" max="3843" width="20" style="50" customWidth="1"/>
    <col min="3844" max="3844" width="18" style="50" customWidth="1"/>
    <col min="3845" max="3845" width="19.7109375" style="50" customWidth="1"/>
    <col min="3846" max="3846" width="16.140625" style="50" customWidth="1"/>
    <col min="3847" max="3847" width="16.42578125" style="50" customWidth="1"/>
    <col min="3848" max="3848" width="12.140625" style="50" customWidth="1"/>
    <col min="3849" max="3849" width="13.140625" style="50" customWidth="1"/>
    <col min="3850" max="3850" width="13.7109375" style="50" customWidth="1"/>
    <col min="3851" max="3851" width="18.28515625" style="50" customWidth="1"/>
    <col min="3852" max="4096" width="9.140625" style="50"/>
    <col min="4097" max="4097" width="22.85546875" style="50" customWidth="1"/>
    <col min="4098" max="4098" width="19.140625" style="50" customWidth="1"/>
    <col min="4099" max="4099" width="20" style="50" customWidth="1"/>
    <col min="4100" max="4100" width="18" style="50" customWidth="1"/>
    <col min="4101" max="4101" width="19.7109375" style="50" customWidth="1"/>
    <col min="4102" max="4102" width="16.140625" style="50" customWidth="1"/>
    <col min="4103" max="4103" width="16.42578125" style="50" customWidth="1"/>
    <col min="4104" max="4104" width="12.140625" style="50" customWidth="1"/>
    <col min="4105" max="4105" width="13.140625" style="50" customWidth="1"/>
    <col min="4106" max="4106" width="13.7109375" style="50" customWidth="1"/>
    <col min="4107" max="4107" width="18.28515625" style="50" customWidth="1"/>
    <col min="4108" max="4352" width="9.140625" style="50"/>
    <col min="4353" max="4353" width="22.85546875" style="50" customWidth="1"/>
    <col min="4354" max="4354" width="19.140625" style="50" customWidth="1"/>
    <col min="4355" max="4355" width="20" style="50" customWidth="1"/>
    <col min="4356" max="4356" width="18" style="50" customWidth="1"/>
    <col min="4357" max="4357" width="19.7109375" style="50" customWidth="1"/>
    <col min="4358" max="4358" width="16.140625" style="50" customWidth="1"/>
    <col min="4359" max="4359" width="16.42578125" style="50" customWidth="1"/>
    <col min="4360" max="4360" width="12.140625" style="50" customWidth="1"/>
    <col min="4361" max="4361" width="13.140625" style="50" customWidth="1"/>
    <col min="4362" max="4362" width="13.7109375" style="50" customWidth="1"/>
    <col min="4363" max="4363" width="18.28515625" style="50" customWidth="1"/>
    <col min="4364" max="4608" width="9.140625" style="50"/>
    <col min="4609" max="4609" width="22.85546875" style="50" customWidth="1"/>
    <col min="4610" max="4610" width="19.140625" style="50" customWidth="1"/>
    <col min="4611" max="4611" width="20" style="50" customWidth="1"/>
    <col min="4612" max="4612" width="18" style="50" customWidth="1"/>
    <col min="4613" max="4613" width="19.7109375" style="50" customWidth="1"/>
    <col min="4614" max="4614" width="16.140625" style="50" customWidth="1"/>
    <col min="4615" max="4615" width="16.42578125" style="50" customWidth="1"/>
    <col min="4616" max="4616" width="12.140625" style="50" customWidth="1"/>
    <col min="4617" max="4617" width="13.140625" style="50" customWidth="1"/>
    <col min="4618" max="4618" width="13.7109375" style="50" customWidth="1"/>
    <col min="4619" max="4619" width="18.28515625" style="50" customWidth="1"/>
    <col min="4620" max="4864" width="9.140625" style="50"/>
    <col min="4865" max="4865" width="22.85546875" style="50" customWidth="1"/>
    <col min="4866" max="4866" width="19.140625" style="50" customWidth="1"/>
    <col min="4867" max="4867" width="20" style="50" customWidth="1"/>
    <col min="4868" max="4868" width="18" style="50" customWidth="1"/>
    <col min="4869" max="4869" width="19.7109375" style="50" customWidth="1"/>
    <col min="4870" max="4870" width="16.140625" style="50" customWidth="1"/>
    <col min="4871" max="4871" width="16.42578125" style="50" customWidth="1"/>
    <col min="4872" max="4872" width="12.140625" style="50" customWidth="1"/>
    <col min="4873" max="4873" width="13.140625" style="50" customWidth="1"/>
    <col min="4874" max="4874" width="13.7109375" style="50" customWidth="1"/>
    <col min="4875" max="4875" width="18.28515625" style="50" customWidth="1"/>
    <col min="4876" max="5120" width="9.140625" style="50"/>
    <col min="5121" max="5121" width="22.85546875" style="50" customWidth="1"/>
    <col min="5122" max="5122" width="19.140625" style="50" customWidth="1"/>
    <col min="5123" max="5123" width="20" style="50" customWidth="1"/>
    <col min="5124" max="5124" width="18" style="50" customWidth="1"/>
    <col min="5125" max="5125" width="19.7109375" style="50" customWidth="1"/>
    <col min="5126" max="5126" width="16.140625" style="50" customWidth="1"/>
    <col min="5127" max="5127" width="16.42578125" style="50" customWidth="1"/>
    <col min="5128" max="5128" width="12.140625" style="50" customWidth="1"/>
    <col min="5129" max="5129" width="13.140625" style="50" customWidth="1"/>
    <col min="5130" max="5130" width="13.7109375" style="50" customWidth="1"/>
    <col min="5131" max="5131" width="18.28515625" style="50" customWidth="1"/>
    <col min="5132" max="5376" width="9.140625" style="50"/>
    <col min="5377" max="5377" width="22.85546875" style="50" customWidth="1"/>
    <col min="5378" max="5378" width="19.140625" style="50" customWidth="1"/>
    <col min="5379" max="5379" width="20" style="50" customWidth="1"/>
    <col min="5380" max="5380" width="18" style="50" customWidth="1"/>
    <col min="5381" max="5381" width="19.7109375" style="50" customWidth="1"/>
    <col min="5382" max="5382" width="16.140625" style="50" customWidth="1"/>
    <col min="5383" max="5383" width="16.42578125" style="50" customWidth="1"/>
    <col min="5384" max="5384" width="12.140625" style="50" customWidth="1"/>
    <col min="5385" max="5385" width="13.140625" style="50" customWidth="1"/>
    <col min="5386" max="5386" width="13.7109375" style="50" customWidth="1"/>
    <col min="5387" max="5387" width="18.28515625" style="50" customWidth="1"/>
    <col min="5388" max="5632" width="9.140625" style="50"/>
    <col min="5633" max="5633" width="22.85546875" style="50" customWidth="1"/>
    <col min="5634" max="5634" width="19.140625" style="50" customWidth="1"/>
    <col min="5635" max="5635" width="20" style="50" customWidth="1"/>
    <col min="5636" max="5636" width="18" style="50" customWidth="1"/>
    <col min="5637" max="5637" width="19.7109375" style="50" customWidth="1"/>
    <col min="5638" max="5638" width="16.140625" style="50" customWidth="1"/>
    <col min="5639" max="5639" width="16.42578125" style="50" customWidth="1"/>
    <col min="5640" max="5640" width="12.140625" style="50" customWidth="1"/>
    <col min="5641" max="5641" width="13.140625" style="50" customWidth="1"/>
    <col min="5642" max="5642" width="13.7109375" style="50" customWidth="1"/>
    <col min="5643" max="5643" width="18.28515625" style="50" customWidth="1"/>
    <col min="5644" max="5888" width="9.140625" style="50"/>
    <col min="5889" max="5889" width="22.85546875" style="50" customWidth="1"/>
    <col min="5890" max="5890" width="19.140625" style="50" customWidth="1"/>
    <col min="5891" max="5891" width="20" style="50" customWidth="1"/>
    <col min="5892" max="5892" width="18" style="50" customWidth="1"/>
    <col min="5893" max="5893" width="19.7109375" style="50" customWidth="1"/>
    <col min="5894" max="5894" width="16.140625" style="50" customWidth="1"/>
    <col min="5895" max="5895" width="16.42578125" style="50" customWidth="1"/>
    <col min="5896" max="5896" width="12.140625" style="50" customWidth="1"/>
    <col min="5897" max="5897" width="13.140625" style="50" customWidth="1"/>
    <col min="5898" max="5898" width="13.7109375" style="50" customWidth="1"/>
    <col min="5899" max="5899" width="18.28515625" style="50" customWidth="1"/>
    <col min="5900" max="6144" width="9.140625" style="50"/>
    <col min="6145" max="6145" width="22.85546875" style="50" customWidth="1"/>
    <col min="6146" max="6146" width="19.140625" style="50" customWidth="1"/>
    <col min="6147" max="6147" width="20" style="50" customWidth="1"/>
    <col min="6148" max="6148" width="18" style="50" customWidth="1"/>
    <col min="6149" max="6149" width="19.7109375" style="50" customWidth="1"/>
    <col min="6150" max="6150" width="16.140625" style="50" customWidth="1"/>
    <col min="6151" max="6151" width="16.42578125" style="50" customWidth="1"/>
    <col min="6152" max="6152" width="12.140625" style="50" customWidth="1"/>
    <col min="6153" max="6153" width="13.140625" style="50" customWidth="1"/>
    <col min="6154" max="6154" width="13.7109375" style="50" customWidth="1"/>
    <col min="6155" max="6155" width="18.28515625" style="50" customWidth="1"/>
    <col min="6156" max="6400" width="9.140625" style="50"/>
    <col min="6401" max="6401" width="22.85546875" style="50" customWidth="1"/>
    <col min="6402" max="6402" width="19.140625" style="50" customWidth="1"/>
    <col min="6403" max="6403" width="20" style="50" customWidth="1"/>
    <col min="6404" max="6404" width="18" style="50" customWidth="1"/>
    <col min="6405" max="6405" width="19.7109375" style="50" customWidth="1"/>
    <col min="6406" max="6406" width="16.140625" style="50" customWidth="1"/>
    <col min="6407" max="6407" width="16.42578125" style="50" customWidth="1"/>
    <col min="6408" max="6408" width="12.140625" style="50" customWidth="1"/>
    <col min="6409" max="6409" width="13.140625" style="50" customWidth="1"/>
    <col min="6410" max="6410" width="13.7109375" style="50" customWidth="1"/>
    <col min="6411" max="6411" width="18.28515625" style="50" customWidth="1"/>
    <col min="6412" max="6656" width="9.140625" style="50"/>
    <col min="6657" max="6657" width="22.85546875" style="50" customWidth="1"/>
    <col min="6658" max="6658" width="19.140625" style="50" customWidth="1"/>
    <col min="6659" max="6659" width="20" style="50" customWidth="1"/>
    <col min="6660" max="6660" width="18" style="50" customWidth="1"/>
    <col min="6661" max="6661" width="19.7109375" style="50" customWidth="1"/>
    <col min="6662" max="6662" width="16.140625" style="50" customWidth="1"/>
    <col min="6663" max="6663" width="16.42578125" style="50" customWidth="1"/>
    <col min="6664" max="6664" width="12.140625" style="50" customWidth="1"/>
    <col min="6665" max="6665" width="13.140625" style="50" customWidth="1"/>
    <col min="6666" max="6666" width="13.7109375" style="50" customWidth="1"/>
    <col min="6667" max="6667" width="18.28515625" style="50" customWidth="1"/>
    <col min="6668" max="6912" width="9.140625" style="50"/>
    <col min="6913" max="6913" width="22.85546875" style="50" customWidth="1"/>
    <col min="6914" max="6914" width="19.140625" style="50" customWidth="1"/>
    <col min="6915" max="6915" width="20" style="50" customWidth="1"/>
    <col min="6916" max="6916" width="18" style="50" customWidth="1"/>
    <col min="6917" max="6917" width="19.7109375" style="50" customWidth="1"/>
    <col min="6918" max="6918" width="16.140625" style="50" customWidth="1"/>
    <col min="6919" max="6919" width="16.42578125" style="50" customWidth="1"/>
    <col min="6920" max="6920" width="12.140625" style="50" customWidth="1"/>
    <col min="6921" max="6921" width="13.140625" style="50" customWidth="1"/>
    <col min="6922" max="6922" width="13.7109375" style="50" customWidth="1"/>
    <col min="6923" max="6923" width="18.28515625" style="50" customWidth="1"/>
    <col min="6924" max="7168" width="9.140625" style="50"/>
    <col min="7169" max="7169" width="22.85546875" style="50" customWidth="1"/>
    <col min="7170" max="7170" width="19.140625" style="50" customWidth="1"/>
    <col min="7171" max="7171" width="20" style="50" customWidth="1"/>
    <col min="7172" max="7172" width="18" style="50" customWidth="1"/>
    <col min="7173" max="7173" width="19.7109375" style="50" customWidth="1"/>
    <col min="7174" max="7174" width="16.140625" style="50" customWidth="1"/>
    <col min="7175" max="7175" width="16.42578125" style="50" customWidth="1"/>
    <col min="7176" max="7176" width="12.140625" style="50" customWidth="1"/>
    <col min="7177" max="7177" width="13.140625" style="50" customWidth="1"/>
    <col min="7178" max="7178" width="13.7109375" style="50" customWidth="1"/>
    <col min="7179" max="7179" width="18.28515625" style="50" customWidth="1"/>
    <col min="7180" max="7424" width="9.140625" style="50"/>
    <col min="7425" max="7425" width="22.85546875" style="50" customWidth="1"/>
    <col min="7426" max="7426" width="19.140625" style="50" customWidth="1"/>
    <col min="7427" max="7427" width="20" style="50" customWidth="1"/>
    <col min="7428" max="7428" width="18" style="50" customWidth="1"/>
    <col min="7429" max="7429" width="19.7109375" style="50" customWidth="1"/>
    <col min="7430" max="7430" width="16.140625" style="50" customWidth="1"/>
    <col min="7431" max="7431" width="16.42578125" style="50" customWidth="1"/>
    <col min="7432" max="7432" width="12.140625" style="50" customWidth="1"/>
    <col min="7433" max="7433" width="13.140625" style="50" customWidth="1"/>
    <col min="7434" max="7434" width="13.7109375" style="50" customWidth="1"/>
    <col min="7435" max="7435" width="18.28515625" style="50" customWidth="1"/>
    <col min="7436" max="7680" width="9.140625" style="50"/>
    <col min="7681" max="7681" width="22.85546875" style="50" customWidth="1"/>
    <col min="7682" max="7682" width="19.140625" style="50" customWidth="1"/>
    <col min="7683" max="7683" width="20" style="50" customWidth="1"/>
    <col min="7684" max="7684" width="18" style="50" customWidth="1"/>
    <col min="7685" max="7685" width="19.7109375" style="50" customWidth="1"/>
    <col min="7686" max="7686" width="16.140625" style="50" customWidth="1"/>
    <col min="7687" max="7687" width="16.42578125" style="50" customWidth="1"/>
    <col min="7688" max="7688" width="12.140625" style="50" customWidth="1"/>
    <col min="7689" max="7689" width="13.140625" style="50" customWidth="1"/>
    <col min="7690" max="7690" width="13.7109375" style="50" customWidth="1"/>
    <col min="7691" max="7691" width="18.28515625" style="50" customWidth="1"/>
    <col min="7692" max="7936" width="9.140625" style="50"/>
    <col min="7937" max="7937" width="22.85546875" style="50" customWidth="1"/>
    <col min="7938" max="7938" width="19.140625" style="50" customWidth="1"/>
    <col min="7939" max="7939" width="20" style="50" customWidth="1"/>
    <col min="7940" max="7940" width="18" style="50" customWidth="1"/>
    <col min="7941" max="7941" width="19.7109375" style="50" customWidth="1"/>
    <col min="7942" max="7942" width="16.140625" style="50" customWidth="1"/>
    <col min="7943" max="7943" width="16.42578125" style="50" customWidth="1"/>
    <col min="7944" max="7944" width="12.140625" style="50" customWidth="1"/>
    <col min="7945" max="7945" width="13.140625" style="50" customWidth="1"/>
    <col min="7946" max="7946" width="13.7109375" style="50" customWidth="1"/>
    <col min="7947" max="7947" width="18.28515625" style="50" customWidth="1"/>
    <col min="7948" max="8192" width="9.140625" style="50"/>
    <col min="8193" max="8193" width="22.85546875" style="50" customWidth="1"/>
    <col min="8194" max="8194" width="19.140625" style="50" customWidth="1"/>
    <col min="8195" max="8195" width="20" style="50" customWidth="1"/>
    <col min="8196" max="8196" width="18" style="50" customWidth="1"/>
    <col min="8197" max="8197" width="19.7109375" style="50" customWidth="1"/>
    <col min="8198" max="8198" width="16.140625" style="50" customWidth="1"/>
    <col min="8199" max="8199" width="16.42578125" style="50" customWidth="1"/>
    <col min="8200" max="8200" width="12.140625" style="50" customWidth="1"/>
    <col min="8201" max="8201" width="13.140625" style="50" customWidth="1"/>
    <col min="8202" max="8202" width="13.7109375" style="50" customWidth="1"/>
    <col min="8203" max="8203" width="18.28515625" style="50" customWidth="1"/>
    <col min="8204" max="8448" width="9.140625" style="50"/>
    <col min="8449" max="8449" width="22.85546875" style="50" customWidth="1"/>
    <col min="8450" max="8450" width="19.140625" style="50" customWidth="1"/>
    <col min="8451" max="8451" width="20" style="50" customWidth="1"/>
    <col min="8452" max="8452" width="18" style="50" customWidth="1"/>
    <col min="8453" max="8453" width="19.7109375" style="50" customWidth="1"/>
    <col min="8454" max="8454" width="16.140625" style="50" customWidth="1"/>
    <col min="8455" max="8455" width="16.42578125" style="50" customWidth="1"/>
    <col min="8456" max="8456" width="12.140625" style="50" customWidth="1"/>
    <col min="8457" max="8457" width="13.140625" style="50" customWidth="1"/>
    <col min="8458" max="8458" width="13.7109375" style="50" customWidth="1"/>
    <col min="8459" max="8459" width="18.28515625" style="50" customWidth="1"/>
    <col min="8460" max="8704" width="9.140625" style="50"/>
    <col min="8705" max="8705" width="22.85546875" style="50" customWidth="1"/>
    <col min="8706" max="8706" width="19.140625" style="50" customWidth="1"/>
    <col min="8707" max="8707" width="20" style="50" customWidth="1"/>
    <col min="8708" max="8708" width="18" style="50" customWidth="1"/>
    <col min="8709" max="8709" width="19.7109375" style="50" customWidth="1"/>
    <col min="8710" max="8710" width="16.140625" style="50" customWidth="1"/>
    <col min="8711" max="8711" width="16.42578125" style="50" customWidth="1"/>
    <col min="8712" max="8712" width="12.140625" style="50" customWidth="1"/>
    <col min="8713" max="8713" width="13.140625" style="50" customWidth="1"/>
    <col min="8714" max="8714" width="13.7109375" style="50" customWidth="1"/>
    <col min="8715" max="8715" width="18.28515625" style="50" customWidth="1"/>
    <col min="8716" max="8960" width="9.140625" style="50"/>
    <col min="8961" max="8961" width="22.85546875" style="50" customWidth="1"/>
    <col min="8962" max="8962" width="19.140625" style="50" customWidth="1"/>
    <col min="8963" max="8963" width="20" style="50" customWidth="1"/>
    <col min="8964" max="8964" width="18" style="50" customWidth="1"/>
    <col min="8965" max="8965" width="19.7109375" style="50" customWidth="1"/>
    <col min="8966" max="8966" width="16.140625" style="50" customWidth="1"/>
    <col min="8967" max="8967" width="16.42578125" style="50" customWidth="1"/>
    <col min="8968" max="8968" width="12.140625" style="50" customWidth="1"/>
    <col min="8969" max="8969" width="13.140625" style="50" customWidth="1"/>
    <col min="8970" max="8970" width="13.7109375" style="50" customWidth="1"/>
    <col min="8971" max="8971" width="18.28515625" style="50" customWidth="1"/>
    <col min="8972" max="9216" width="9.140625" style="50"/>
    <col min="9217" max="9217" width="22.85546875" style="50" customWidth="1"/>
    <col min="9218" max="9218" width="19.140625" style="50" customWidth="1"/>
    <col min="9219" max="9219" width="20" style="50" customWidth="1"/>
    <col min="9220" max="9220" width="18" style="50" customWidth="1"/>
    <col min="9221" max="9221" width="19.7109375" style="50" customWidth="1"/>
    <col min="9222" max="9222" width="16.140625" style="50" customWidth="1"/>
    <col min="9223" max="9223" width="16.42578125" style="50" customWidth="1"/>
    <col min="9224" max="9224" width="12.140625" style="50" customWidth="1"/>
    <col min="9225" max="9225" width="13.140625" style="50" customWidth="1"/>
    <col min="9226" max="9226" width="13.7109375" style="50" customWidth="1"/>
    <col min="9227" max="9227" width="18.28515625" style="50" customWidth="1"/>
    <col min="9228" max="9472" width="9.140625" style="50"/>
    <col min="9473" max="9473" width="22.85546875" style="50" customWidth="1"/>
    <col min="9474" max="9474" width="19.140625" style="50" customWidth="1"/>
    <col min="9475" max="9475" width="20" style="50" customWidth="1"/>
    <col min="9476" max="9476" width="18" style="50" customWidth="1"/>
    <col min="9477" max="9477" width="19.7109375" style="50" customWidth="1"/>
    <col min="9478" max="9478" width="16.140625" style="50" customWidth="1"/>
    <col min="9479" max="9479" width="16.42578125" style="50" customWidth="1"/>
    <col min="9480" max="9480" width="12.140625" style="50" customWidth="1"/>
    <col min="9481" max="9481" width="13.140625" style="50" customWidth="1"/>
    <col min="9482" max="9482" width="13.7109375" style="50" customWidth="1"/>
    <col min="9483" max="9483" width="18.28515625" style="50" customWidth="1"/>
    <col min="9484" max="9728" width="9.140625" style="50"/>
    <col min="9729" max="9729" width="22.85546875" style="50" customWidth="1"/>
    <col min="9730" max="9730" width="19.140625" style="50" customWidth="1"/>
    <col min="9731" max="9731" width="20" style="50" customWidth="1"/>
    <col min="9732" max="9732" width="18" style="50" customWidth="1"/>
    <col min="9733" max="9733" width="19.7109375" style="50" customWidth="1"/>
    <col min="9734" max="9734" width="16.140625" style="50" customWidth="1"/>
    <col min="9735" max="9735" width="16.42578125" style="50" customWidth="1"/>
    <col min="9736" max="9736" width="12.140625" style="50" customWidth="1"/>
    <col min="9737" max="9737" width="13.140625" style="50" customWidth="1"/>
    <col min="9738" max="9738" width="13.7109375" style="50" customWidth="1"/>
    <col min="9739" max="9739" width="18.28515625" style="50" customWidth="1"/>
    <col min="9740" max="9984" width="9.140625" style="50"/>
    <col min="9985" max="9985" width="22.85546875" style="50" customWidth="1"/>
    <col min="9986" max="9986" width="19.140625" style="50" customWidth="1"/>
    <col min="9987" max="9987" width="20" style="50" customWidth="1"/>
    <col min="9988" max="9988" width="18" style="50" customWidth="1"/>
    <col min="9989" max="9989" width="19.7109375" style="50" customWidth="1"/>
    <col min="9990" max="9990" width="16.140625" style="50" customWidth="1"/>
    <col min="9991" max="9991" width="16.42578125" style="50" customWidth="1"/>
    <col min="9992" max="9992" width="12.140625" style="50" customWidth="1"/>
    <col min="9993" max="9993" width="13.140625" style="50" customWidth="1"/>
    <col min="9994" max="9994" width="13.7109375" style="50" customWidth="1"/>
    <col min="9995" max="9995" width="18.28515625" style="50" customWidth="1"/>
    <col min="9996" max="10240" width="9.140625" style="50"/>
    <col min="10241" max="10241" width="22.85546875" style="50" customWidth="1"/>
    <col min="10242" max="10242" width="19.140625" style="50" customWidth="1"/>
    <col min="10243" max="10243" width="20" style="50" customWidth="1"/>
    <col min="10244" max="10244" width="18" style="50" customWidth="1"/>
    <col min="10245" max="10245" width="19.7109375" style="50" customWidth="1"/>
    <col min="10246" max="10246" width="16.140625" style="50" customWidth="1"/>
    <col min="10247" max="10247" width="16.42578125" style="50" customWidth="1"/>
    <col min="10248" max="10248" width="12.140625" style="50" customWidth="1"/>
    <col min="10249" max="10249" width="13.140625" style="50" customWidth="1"/>
    <col min="10250" max="10250" width="13.7109375" style="50" customWidth="1"/>
    <col min="10251" max="10251" width="18.28515625" style="50" customWidth="1"/>
    <col min="10252" max="10496" width="9.140625" style="50"/>
    <col min="10497" max="10497" width="22.85546875" style="50" customWidth="1"/>
    <col min="10498" max="10498" width="19.140625" style="50" customWidth="1"/>
    <col min="10499" max="10499" width="20" style="50" customWidth="1"/>
    <col min="10500" max="10500" width="18" style="50" customWidth="1"/>
    <col min="10501" max="10501" width="19.7109375" style="50" customWidth="1"/>
    <col min="10502" max="10502" width="16.140625" style="50" customWidth="1"/>
    <col min="10503" max="10503" width="16.42578125" style="50" customWidth="1"/>
    <col min="10504" max="10504" width="12.140625" style="50" customWidth="1"/>
    <col min="10505" max="10505" width="13.140625" style="50" customWidth="1"/>
    <col min="10506" max="10506" width="13.7109375" style="50" customWidth="1"/>
    <col min="10507" max="10507" width="18.28515625" style="50" customWidth="1"/>
    <col min="10508" max="10752" width="9.140625" style="50"/>
    <col min="10753" max="10753" width="22.85546875" style="50" customWidth="1"/>
    <col min="10754" max="10754" width="19.140625" style="50" customWidth="1"/>
    <col min="10755" max="10755" width="20" style="50" customWidth="1"/>
    <col min="10756" max="10756" width="18" style="50" customWidth="1"/>
    <col min="10757" max="10757" width="19.7109375" style="50" customWidth="1"/>
    <col min="10758" max="10758" width="16.140625" style="50" customWidth="1"/>
    <col min="10759" max="10759" width="16.42578125" style="50" customWidth="1"/>
    <col min="10760" max="10760" width="12.140625" style="50" customWidth="1"/>
    <col min="10761" max="10761" width="13.140625" style="50" customWidth="1"/>
    <col min="10762" max="10762" width="13.7109375" style="50" customWidth="1"/>
    <col min="10763" max="10763" width="18.28515625" style="50" customWidth="1"/>
    <col min="10764" max="11008" width="9.140625" style="50"/>
    <col min="11009" max="11009" width="22.85546875" style="50" customWidth="1"/>
    <col min="11010" max="11010" width="19.140625" style="50" customWidth="1"/>
    <col min="11011" max="11011" width="20" style="50" customWidth="1"/>
    <col min="11012" max="11012" width="18" style="50" customWidth="1"/>
    <col min="11013" max="11013" width="19.7109375" style="50" customWidth="1"/>
    <col min="11014" max="11014" width="16.140625" style="50" customWidth="1"/>
    <col min="11015" max="11015" width="16.42578125" style="50" customWidth="1"/>
    <col min="11016" max="11016" width="12.140625" style="50" customWidth="1"/>
    <col min="11017" max="11017" width="13.140625" style="50" customWidth="1"/>
    <col min="11018" max="11018" width="13.7109375" style="50" customWidth="1"/>
    <col min="11019" max="11019" width="18.28515625" style="50" customWidth="1"/>
    <col min="11020" max="11264" width="9.140625" style="50"/>
    <col min="11265" max="11265" width="22.85546875" style="50" customWidth="1"/>
    <col min="11266" max="11266" width="19.140625" style="50" customWidth="1"/>
    <col min="11267" max="11267" width="20" style="50" customWidth="1"/>
    <col min="11268" max="11268" width="18" style="50" customWidth="1"/>
    <col min="11269" max="11269" width="19.7109375" style="50" customWidth="1"/>
    <col min="11270" max="11270" width="16.140625" style="50" customWidth="1"/>
    <col min="11271" max="11271" width="16.42578125" style="50" customWidth="1"/>
    <col min="11272" max="11272" width="12.140625" style="50" customWidth="1"/>
    <col min="11273" max="11273" width="13.140625" style="50" customWidth="1"/>
    <col min="11274" max="11274" width="13.7109375" style="50" customWidth="1"/>
    <col min="11275" max="11275" width="18.28515625" style="50" customWidth="1"/>
    <col min="11276" max="11520" width="9.140625" style="50"/>
    <col min="11521" max="11521" width="22.85546875" style="50" customWidth="1"/>
    <col min="11522" max="11522" width="19.140625" style="50" customWidth="1"/>
    <col min="11523" max="11523" width="20" style="50" customWidth="1"/>
    <col min="11524" max="11524" width="18" style="50" customWidth="1"/>
    <col min="11525" max="11525" width="19.7109375" style="50" customWidth="1"/>
    <col min="11526" max="11526" width="16.140625" style="50" customWidth="1"/>
    <col min="11527" max="11527" width="16.42578125" style="50" customWidth="1"/>
    <col min="11528" max="11528" width="12.140625" style="50" customWidth="1"/>
    <col min="11529" max="11529" width="13.140625" style="50" customWidth="1"/>
    <col min="11530" max="11530" width="13.7109375" style="50" customWidth="1"/>
    <col min="11531" max="11531" width="18.28515625" style="50" customWidth="1"/>
    <col min="11532" max="11776" width="9.140625" style="50"/>
    <col min="11777" max="11777" width="22.85546875" style="50" customWidth="1"/>
    <col min="11778" max="11778" width="19.140625" style="50" customWidth="1"/>
    <col min="11779" max="11779" width="20" style="50" customWidth="1"/>
    <col min="11780" max="11780" width="18" style="50" customWidth="1"/>
    <col min="11781" max="11781" width="19.7109375" style="50" customWidth="1"/>
    <col min="11782" max="11782" width="16.140625" style="50" customWidth="1"/>
    <col min="11783" max="11783" width="16.42578125" style="50" customWidth="1"/>
    <col min="11784" max="11784" width="12.140625" style="50" customWidth="1"/>
    <col min="11785" max="11785" width="13.140625" style="50" customWidth="1"/>
    <col min="11786" max="11786" width="13.7109375" style="50" customWidth="1"/>
    <col min="11787" max="11787" width="18.28515625" style="50" customWidth="1"/>
    <col min="11788" max="12032" width="9.140625" style="50"/>
    <col min="12033" max="12033" width="22.85546875" style="50" customWidth="1"/>
    <col min="12034" max="12034" width="19.140625" style="50" customWidth="1"/>
    <col min="12035" max="12035" width="20" style="50" customWidth="1"/>
    <col min="12036" max="12036" width="18" style="50" customWidth="1"/>
    <col min="12037" max="12037" width="19.7109375" style="50" customWidth="1"/>
    <col min="12038" max="12038" width="16.140625" style="50" customWidth="1"/>
    <col min="12039" max="12039" width="16.42578125" style="50" customWidth="1"/>
    <col min="12040" max="12040" width="12.140625" style="50" customWidth="1"/>
    <col min="12041" max="12041" width="13.140625" style="50" customWidth="1"/>
    <col min="12042" max="12042" width="13.7109375" style="50" customWidth="1"/>
    <col min="12043" max="12043" width="18.28515625" style="50" customWidth="1"/>
    <col min="12044" max="12288" width="9.140625" style="50"/>
    <col min="12289" max="12289" width="22.85546875" style="50" customWidth="1"/>
    <col min="12290" max="12290" width="19.140625" style="50" customWidth="1"/>
    <col min="12291" max="12291" width="20" style="50" customWidth="1"/>
    <col min="12292" max="12292" width="18" style="50" customWidth="1"/>
    <col min="12293" max="12293" width="19.7109375" style="50" customWidth="1"/>
    <col min="12294" max="12294" width="16.140625" style="50" customWidth="1"/>
    <col min="12295" max="12295" width="16.42578125" style="50" customWidth="1"/>
    <col min="12296" max="12296" width="12.140625" style="50" customWidth="1"/>
    <col min="12297" max="12297" width="13.140625" style="50" customWidth="1"/>
    <col min="12298" max="12298" width="13.7109375" style="50" customWidth="1"/>
    <col min="12299" max="12299" width="18.28515625" style="50" customWidth="1"/>
    <col min="12300" max="12544" width="9.140625" style="50"/>
    <col min="12545" max="12545" width="22.85546875" style="50" customWidth="1"/>
    <col min="12546" max="12546" width="19.140625" style="50" customWidth="1"/>
    <col min="12547" max="12547" width="20" style="50" customWidth="1"/>
    <col min="12548" max="12548" width="18" style="50" customWidth="1"/>
    <col min="12549" max="12549" width="19.7109375" style="50" customWidth="1"/>
    <col min="12550" max="12550" width="16.140625" style="50" customWidth="1"/>
    <col min="12551" max="12551" width="16.42578125" style="50" customWidth="1"/>
    <col min="12552" max="12552" width="12.140625" style="50" customWidth="1"/>
    <col min="12553" max="12553" width="13.140625" style="50" customWidth="1"/>
    <col min="12554" max="12554" width="13.7109375" style="50" customWidth="1"/>
    <col min="12555" max="12555" width="18.28515625" style="50" customWidth="1"/>
    <col min="12556" max="12800" width="9.140625" style="50"/>
    <col min="12801" max="12801" width="22.85546875" style="50" customWidth="1"/>
    <col min="12802" max="12802" width="19.140625" style="50" customWidth="1"/>
    <col min="12803" max="12803" width="20" style="50" customWidth="1"/>
    <col min="12804" max="12804" width="18" style="50" customWidth="1"/>
    <col min="12805" max="12805" width="19.7109375" style="50" customWidth="1"/>
    <col min="12806" max="12806" width="16.140625" style="50" customWidth="1"/>
    <col min="12807" max="12807" width="16.42578125" style="50" customWidth="1"/>
    <col min="12808" max="12808" width="12.140625" style="50" customWidth="1"/>
    <col min="12809" max="12809" width="13.140625" style="50" customWidth="1"/>
    <col min="12810" max="12810" width="13.7109375" style="50" customWidth="1"/>
    <col min="12811" max="12811" width="18.28515625" style="50" customWidth="1"/>
    <col min="12812" max="13056" width="9.140625" style="50"/>
    <col min="13057" max="13057" width="22.85546875" style="50" customWidth="1"/>
    <col min="13058" max="13058" width="19.140625" style="50" customWidth="1"/>
    <col min="13059" max="13059" width="20" style="50" customWidth="1"/>
    <col min="13060" max="13060" width="18" style="50" customWidth="1"/>
    <col min="13061" max="13061" width="19.7109375" style="50" customWidth="1"/>
    <col min="13062" max="13062" width="16.140625" style="50" customWidth="1"/>
    <col min="13063" max="13063" width="16.42578125" style="50" customWidth="1"/>
    <col min="13064" max="13064" width="12.140625" style="50" customWidth="1"/>
    <col min="13065" max="13065" width="13.140625" style="50" customWidth="1"/>
    <col min="13066" max="13066" width="13.7109375" style="50" customWidth="1"/>
    <col min="13067" max="13067" width="18.28515625" style="50" customWidth="1"/>
    <col min="13068" max="13312" width="9.140625" style="50"/>
    <col min="13313" max="13313" width="22.85546875" style="50" customWidth="1"/>
    <col min="13314" max="13314" width="19.140625" style="50" customWidth="1"/>
    <col min="13315" max="13315" width="20" style="50" customWidth="1"/>
    <col min="13316" max="13316" width="18" style="50" customWidth="1"/>
    <col min="13317" max="13317" width="19.7109375" style="50" customWidth="1"/>
    <col min="13318" max="13318" width="16.140625" style="50" customWidth="1"/>
    <col min="13319" max="13319" width="16.42578125" style="50" customWidth="1"/>
    <col min="13320" max="13320" width="12.140625" style="50" customWidth="1"/>
    <col min="13321" max="13321" width="13.140625" style="50" customWidth="1"/>
    <col min="13322" max="13322" width="13.7109375" style="50" customWidth="1"/>
    <col min="13323" max="13323" width="18.28515625" style="50" customWidth="1"/>
    <col min="13324" max="13568" width="9.140625" style="50"/>
    <col min="13569" max="13569" width="22.85546875" style="50" customWidth="1"/>
    <col min="13570" max="13570" width="19.140625" style="50" customWidth="1"/>
    <col min="13571" max="13571" width="20" style="50" customWidth="1"/>
    <col min="13572" max="13572" width="18" style="50" customWidth="1"/>
    <col min="13573" max="13573" width="19.7109375" style="50" customWidth="1"/>
    <col min="13574" max="13574" width="16.140625" style="50" customWidth="1"/>
    <col min="13575" max="13575" width="16.42578125" style="50" customWidth="1"/>
    <col min="13576" max="13576" width="12.140625" style="50" customWidth="1"/>
    <col min="13577" max="13577" width="13.140625" style="50" customWidth="1"/>
    <col min="13578" max="13578" width="13.7109375" style="50" customWidth="1"/>
    <col min="13579" max="13579" width="18.28515625" style="50" customWidth="1"/>
    <col min="13580" max="13824" width="9.140625" style="50"/>
    <col min="13825" max="13825" width="22.85546875" style="50" customWidth="1"/>
    <col min="13826" max="13826" width="19.140625" style="50" customWidth="1"/>
    <col min="13827" max="13827" width="20" style="50" customWidth="1"/>
    <col min="13828" max="13828" width="18" style="50" customWidth="1"/>
    <col min="13829" max="13829" width="19.7109375" style="50" customWidth="1"/>
    <col min="13830" max="13830" width="16.140625" style="50" customWidth="1"/>
    <col min="13831" max="13831" width="16.42578125" style="50" customWidth="1"/>
    <col min="13832" max="13832" width="12.140625" style="50" customWidth="1"/>
    <col min="13833" max="13833" width="13.140625" style="50" customWidth="1"/>
    <col min="13834" max="13834" width="13.7109375" style="50" customWidth="1"/>
    <col min="13835" max="13835" width="18.28515625" style="50" customWidth="1"/>
    <col min="13836" max="14080" width="9.140625" style="50"/>
    <col min="14081" max="14081" width="22.85546875" style="50" customWidth="1"/>
    <col min="14082" max="14082" width="19.140625" style="50" customWidth="1"/>
    <col min="14083" max="14083" width="20" style="50" customWidth="1"/>
    <col min="14084" max="14084" width="18" style="50" customWidth="1"/>
    <col min="14085" max="14085" width="19.7109375" style="50" customWidth="1"/>
    <col min="14086" max="14086" width="16.140625" style="50" customWidth="1"/>
    <col min="14087" max="14087" width="16.42578125" style="50" customWidth="1"/>
    <col min="14088" max="14088" width="12.140625" style="50" customWidth="1"/>
    <col min="14089" max="14089" width="13.140625" style="50" customWidth="1"/>
    <col min="14090" max="14090" width="13.7109375" style="50" customWidth="1"/>
    <col min="14091" max="14091" width="18.28515625" style="50" customWidth="1"/>
    <col min="14092" max="14336" width="9.140625" style="50"/>
    <col min="14337" max="14337" width="22.85546875" style="50" customWidth="1"/>
    <col min="14338" max="14338" width="19.140625" style="50" customWidth="1"/>
    <col min="14339" max="14339" width="20" style="50" customWidth="1"/>
    <col min="14340" max="14340" width="18" style="50" customWidth="1"/>
    <col min="14341" max="14341" width="19.7109375" style="50" customWidth="1"/>
    <col min="14342" max="14342" width="16.140625" style="50" customWidth="1"/>
    <col min="14343" max="14343" width="16.42578125" style="50" customWidth="1"/>
    <col min="14344" max="14344" width="12.140625" style="50" customWidth="1"/>
    <col min="14345" max="14345" width="13.140625" style="50" customWidth="1"/>
    <col min="14346" max="14346" width="13.7109375" style="50" customWidth="1"/>
    <col min="14347" max="14347" width="18.28515625" style="50" customWidth="1"/>
    <col min="14348" max="14592" width="9.140625" style="50"/>
    <col min="14593" max="14593" width="22.85546875" style="50" customWidth="1"/>
    <col min="14594" max="14594" width="19.140625" style="50" customWidth="1"/>
    <col min="14595" max="14595" width="20" style="50" customWidth="1"/>
    <col min="14596" max="14596" width="18" style="50" customWidth="1"/>
    <col min="14597" max="14597" width="19.7109375" style="50" customWidth="1"/>
    <col min="14598" max="14598" width="16.140625" style="50" customWidth="1"/>
    <col min="14599" max="14599" width="16.42578125" style="50" customWidth="1"/>
    <col min="14600" max="14600" width="12.140625" style="50" customWidth="1"/>
    <col min="14601" max="14601" width="13.140625" style="50" customWidth="1"/>
    <col min="14602" max="14602" width="13.7109375" style="50" customWidth="1"/>
    <col min="14603" max="14603" width="18.28515625" style="50" customWidth="1"/>
    <col min="14604" max="14848" width="9.140625" style="50"/>
    <col min="14849" max="14849" width="22.85546875" style="50" customWidth="1"/>
    <col min="14850" max="14850" width="19.140625" style="50" customWidth="1"/>
    <col min="14851" max="14851" width="20" style="50" customWidth="1"/>
    <col min="14852" max="14852" width="18" style="50" customWidth="1"/>
    <col min="14853" max="14853" width="19.7109375" style="50" customWidth="1"/>
    <col min="14854" max="14854" width="16.140625" style="50" customWidth="1"/>
    <col min="14855" max="14855" width="16.42578125" style="50" customWidth="1"/>
    <col min="14856" max="14856" width="12.140625" style="50" customWidth="1"/>
    <col min="14857" max="14857" width="13.140625" style="50" customWidth="1"/>
    <col min="14858" max="14858" width="13.7109375" style="50" customWidth="1"/>
    <col min="14859" max="14859" width="18.28515625" style="50" customWidth="1"/>
    <col min="14860" max="15104" width="9.140625" style="50"/>
    <col min="15105" max="15105" width="22.85546875" style="50" customWidth="1"/>
    <col min="15106" max="15106" width="19.140625" style="50" customWidth="1"/>
    <col min="15107" max="15107" width="20" style="50" customWidth="1"/>
    <col min="15108" max="15108" width="18" style="50" customWidth="1"/>
    <col min="15109" max="15109" width="19.7109375" style="50" customWidth="1"/>
    <col min="15110" max="15110" width="16.140625" style="50" customWidth="1"/>
    <col min="15111" max="15111" width="16.42578125" style="50" customWidth="1"/>
    <col min="15112" max="15112" width="12.140625" style="50" customWidth="1"/>
    <col min="15113" max="15113" width="13.140625" style="50" customWidth="1"/>
    <col min="15114" max="15114" width="13.7109375" style="50" customWidth="1"/>
    <col min="15115" max="15115" width="18.28515625" style="50" customWidth="1"/>
    <col min="15116" max="15360" width="9.140625" style="50"/>
    <col min="15361" max="15361" width="22.85546875" style="50" customWidth="1"/>
    <col min="15362" max="15362" width="19.140625" style="50" customWidth="1"/>
    <col min="15363" max="15363" width="20" style="50" customWidth="1"/>
    <col min="15364" max="15364" width="18" style="50" customWidth="1"/>
    <col min="15365" max="15365" width="19.7109375" style="50" customWidth="1"/>
    <col min="15366" max="15366" width="16.140625" style="50" customWidth="1"/>
    <col min="15367" max="15367" width="16.42578125" style="50" customWidth="1"/>
    <col min="15368" max="15368" width="12.140625" style="50" customWidth="1"/>
    <col min="15369" max="15369" width="13.140625" style="50" customWidth="1"/>
    <col min="15370" max="15370" width="13.7109375" style="50" customWidth="1"/>
    <col min="15371" max="15371" width="18.28515625" style="50" customWidth="1"/>
    <col min="15372" max="15616" width="9.140625" style="50"/>
    <col min="15617" max="15617" width="22.85546875" style="50" customWidth="1"/>
    <col min="15618" max="15618" width="19.140625" style="50" customWidth="1"/>
    <col min="15619" max="15619" width="20" style="50" customWidth="1"/>
    <col min="15620" max="15620" width="18" style="50" customWidth="1"/>
    <col min="15621" max="15621" width="19.7109375" style="50" customWidth="1"/>
    <col min="15622" max="15622" width="16.140625" style="50" customWidth="1"/>
    <col min="15623" max="15623" width="16.42578125" style="50" customWidth="1"/>
    <col min="15624" max="15624" width="12.140625" style="50" customWidth="1"/>
    <col min="15625" max="15625" width="13.140625" style="50" customWidth="1"/>
    <col min="15626" max="15626" width="13.7109375" style="50" customWidth="1"/>
    <col min="15627" max="15627" width="18.28515625" style="50" customWidth="1"/>
    <col min="15628" max="15872" width="9.140625" style="50"/>
    <col min="15873" max="15873" width="22.85546875" style="50" customWidth="1"/>
    <col min="15874" max="15874" width="19.140625" style="50" customWidth="1"/>
    <col min="15875" max="15875" width="20" style="50" customWidth="1"/>
    <col min="15876" max="15876" width="18" style="50" customWidth="1"/>
    <col min="15877" max="15877" width="19.7109375" style="50" customWidth="1"/>
    <col min="15878" max="15878" width="16.140625" style="50" customWidth="1"/>
    <col min="15879" max="15879" width="16.42578125" style="50" customWidth="1"/>
    <col min="15880" max="15880" width="12.140625" style="50" customWidth="1"/>
    <col min="15881" max="15881" width="13.140625" style="50" customWidth="1"/>
    <col min="15882" max="15882" width="13.7109375" style="50" customWidth="1"/>
    <col min="15883" max="15883" width="18.28515625" style="50" customWidth="1"/>
    <col min="15884" max="16128" width="9.140625" style="50"/>
    <col min="16129" max="16129" width="22.85546875" style="50" customWidth="1"/>
    <col min="16130" max="16130" width="19.140625" style="50" customWidth="1"/>
    <col min="16131" max="16131" width="20" style="50" customWidth="1"/>
    <col min="16132" max="16132" width="18" style="50" customWidth="1"/>
    <col min="16133" max="16133" width="19.7109375" style="50" customWidth="1"/>
    <col min="16134" max="16134" width="16.140625" style="50" customWidth="1"/>
    <col min="16135" max="16135" width="16.42578125" style="50" customWidth="1"/>
    <col min="16136" max="16136" width="12.140625" style="50" customWidth="1"/>
    <col min="16137" max="16137" width="13.140625" style="50" customWidth="1"/>
    <col min="16138" max="16138" width="13.7109375" style="50" customWidth="1"/>
    <col min="16139" max="16139" width="18.28515625" style="50" customWidth="1"/>
    <col min="16140" max="16384" width="9.140625" style="50"/>
  </cols>
  <sheetData>
    <row r="2" spans="1:9" s="49" customFormat="1" x14ac:dyDescent="0.2">
      <c r="A2" s="47"/>
      <c r="B2" s="48"/>
      <c r="C2" s="48"/>
      <c r="D2" s="819"/>
      <c r="E2" s="819"/>
    </row>
    <row r="3" spans="1:9" ht="15" customHeight="1" x14ac:dyDescent="0.2">
      <c r="A3" s="505" t="s">
        <v>162</v>
      </c>
      <c r="B3" s="505"/>
      <c r="C3" s="505"/>
      <c r="D3" s="505"/>
      <c r="E3" s="505"/>
      <c r="F3" s="505"/>
      <c r="G3" s="505"/>
      <c r="H3" s="505"/>
      <c r="I3" s="505"/>
    </row>
    <row r="4" spans="1:9" ht="13.5" thickBot="1" x14ac:dyDescent="0.25">
      <c r="A4" s="627"/>
      <c r="B4" s="820"/>
      <c r="C4" s="820"/>
      <c r="D4" s="820"/>
      <c r="E4" s="820"/>
      <c r="F4" s="820"/>
      <c r="G4" s="820"/>
      <c r="H4" s="627"/>
      <c r="I4" s="627"/>
    </row>
    <row r="5" spans="1:9" ht="15" customHeight="1" thickBot="1" x14ac:dyDescent="0.25">
      <c r="A5" s="51"/>
      <c r="B5" s="821" t="s">
        <v>163</v>
      </c>
      <c r="C5" s="822"/>
      <c r="D5" s="822"/>
      <c r="E5" s="822"/>
      <c r="F5" s="822"/>
      <c r="G5" s="823"/>
      <c r="H5" s="52"/>
      <c r="I5" s="52"/>
    </row>
    <row r="6" spans="1:9" x14ac:dyDescent="0.25">
      <c r="A6" s="824" t="s">
        <v>164</v>
      </c>
      <c r="B6" s="826" t="s">
        <v>165</v>
      </c>
      <c r="C6" s="828" t="s">
        <v>166</v>
      </c>
      <c r="D6" s="826" t="s">
        <v>167</v>
      </c>
      <c r="E6" s="830" t="s">
        <v>168</v>
      </c>
      <c r="F6" s="814" t="s">
        <v>169</v>
      </c>
      <c r="G6" s="814" t="s">
        <v>170</v>
      </c>
      <c r="H6" s="814" t="s">
        <v>171</v>
      </c>
      <c r="I6" s="816" t="s">
        <v>172</v>
      </c>
    </row>
    <row r="7" spans="1:9" ht="81.75" customHeight="1" x14ac:dyDescent="0.25">
      <c r="A7" s="825"/>
      <c r="B7" s="827"/>
      <c r="C7" s="829"/>
      <c r="D7" s="827"/>
      <c r="E7" s="831"/>
      <c r="F7" s="815"/>
      <c r="G7" s="815"/>
      <c r="H7" s="815"/>
      <c r="I7" s="817"/>
    </row>
    <row r="8" spans="1:9" s="53" customFormat="1" ht="12.75" customHeight="1" x14ac:dyDescent="0.2">
      <c r="A8" s="802" t="s">
        <v>173</v>
      </c>
      <c r="B8" s="803"/>
      <c r="C8" s="803"/>
      <c r="D8" s="803"/>
      <c r="E8" s="818"/>
      <c r="F8" s="818"/>
      <c r="G8" s="818"/>
      <c r="H8" s="818"/>
      <c r="I8" s="804"/>
    </row>
    <row r="9" spans="1:9" s="53" customFormat="1" x14ac:dyDescent="0.2">
      <c r="A9" s="54" t="s">
        <v>6</v>
      </c>
      <c r="B9" s="55">
        <f>'[1]Nota II.1.1.a'!B107</f>
        <v>9549976373.6000004</v>
      </c>
      <c r="C9" s="55">
        <f>'[1]Nota II.1.1.a'!C107</f>
        <v>159604240.12</v>
      </c>
      <c r="D9" s="55">
        <f>'[1]Nota II.1.1.a'!D107</f>
        <v>4334358964.5699997</v>
      </c>
      <c r="E9" s="55">
        <f>'[1]Nota II.1.1.a'!E107</f>
        <v>264078899.33000001</v>
      </c>
      <c r="F9" s="55">
        <f>'[1]Nota II.1.1.a'!F107</f>
        <v>6945652.4800000004</v>
      </c>
      <c r="G9" s="55">
        <f>'[1]Nota II.1.1.a'!G107</f>
        <v>250765339.58000001</v>
      </c>
      <c r="H9" s="55">
        <f>'[1]Nota II.1.1.a'!H107</f>
        <v>2024378134.48</v>
      </c>
      <c r="I9" s="56">
        <f>B9+SUM(D9:H9)</f>
        <v>16430503364.039999</v>
      </c>
    </row>
    <row r="10" spans="1:9" x14ac:dyDescent="0.2">
      <c r="A10" s="54" t="s">
        <v>174</v>
      </c>
      <c r="B10" s="55">
        <f t="shared" ref="B10:I10" si="0">SUM(B11:B13)</f>
        <v>707608816.09000003</v>
      </c>
      <c r="C10" s="55">
        <f t="shared" si="0"/>
        <v>1270591.44</v>
      </c>
      <c r="D10" s="55">
        <f t="shared" si="0"/>
        <v>450818478.86000001</v>
      </c>
      <c r="E10" s="55">
        <f t="shared" si="0"/>
        <v>35932031.660000004</v>
      </c>
      <c r="F10" s="55">
        <f t="shared" si="0"/>
        <v>897972.2</v>
      </c>
      <c r="G10" s="55">
        <f t="shared" si="0"/>
        <v>32188768.82</v>
      </c>
      <c r="H10" s="55">
        <f t="shared" si="0"/>
        <v>537718629.04000008</v>
      </c>
      <c r="I10" s="56">
        <f t="shared" si="0"/>
        <v>1765164696.6700001</v>
      </c>
    </row>
    <row r="11" spans="1:9" x14ac:dyDescent="0.2">
      <c r="A11" s="57" t="s">
        <v>175</v>
      </c>
      <c r="B11" s="58">
        <f>'[1]Nota II.1.1.a'!B109</f>
        <v>142383305.75</v>
      </c>
      <c r="C11" s="58">
        <f>'[1]Nota II.1.1.a'!C109</f>
        <v>460236.88</v>
      </c>
      <c r="D11" s="58">
        <f>'[1]Nota II.1.1.a'!D109</f>
        <v>68568340.260000005</v>
      </c>
      <c r="E11" s="58">
        <f>'[1]Nota II.1.1.a'!E109</f>
        <v>1368495.19</v>
      </c>
      <c r="F11" s="58">
        <f>'[1]Nota II.1.1.a'!F109</f>
        <v>351473.84</v>
      </c>
      <c r="G11" s="58">
        <f>'[1]Nota II.1.1.a'!G109</f>
        <v>18585059.43</v>
      </c>
      <c r="H11" s="58">
        <f>'[1]Nota II.1.1.a'!H109</f>
        <v>406403747.17000002</v>
      </c>
      <c r="I11" s="59">
        <f>B11+SUM(D11:H11)</f>
        <v>637660421.63999999</v>
      </c>
    </row>
    <row r="12" spans="1:9" x14ac:dyDescent="0.2">
      <c r="A12" s="57" t="s">
        <v>176</v>
      </c>
      <c r="B12" s="58">
        <f>'[1]Nota II.1.1.a'!B110</f>
        <v>563968275.25999999</v>
      </c>
      <c r="C12" s="58">
        <f>'[1]Nota II.1.1.a'!C110</f>
        <v>810354.56</v>
      </c>
      <c r="D12" s="58">
        <f>'[1]Nota II.1.1.a'!D110</f>
        <v>174023637.03</v>
      </c>
      <c r="E12" s="58">
        <f>'[1]Nota II.1.1.a'!E110</f>
        <v>68671.37</v>
      </c>
      <c r="F12" s="58">
        <f>'[1]Nota II.1.1.a'!F110</f>
        <v>0</v>
      </c>
      <c r="G12" s="58">
        <f>'[1]Nota II.1.1.a'!G110</f>
        <v>7974190.0999999996</v>
      </c>
      <c r="H12" s="58">
        <f>'[1]Nota II.1.1.a'!H110</f>
        <v>381469501.26999998</v>
      </c>
      <c r="I12" s="59">
        <f t="shared" ref="I12:I16" si="1">B12+SUM(D12:H12)</f>
        <v>1127504275.03</v>
      </c>
    </row>
    <row r="13" spans="1:9" x14ac:dyDescent="0.2">
      <c r="A13" s="57" t="s">
        <v>177</v>
      </c>
      <c r="B13" s="58">
        <f>'[1]Nota II.1.1.a'!B111</f>
        <v>1257235.08</v>
      </c>
      <c r="C13" s="58">
        <f>'[1]Nota II.1.1.a'!C111</f>
        <v>0</v>
      </c>
      <c r="D13" s="58">
        <f>'[1]Nota II.1.1.a'!D111</f>
        <v>208226501.56999999</v>
      </c>
      <c r="E13" s="58">
        <f>'[1]Nota II.1.1.a'!E111</f>
        <v>34494865.100000001</v>
      </c>
      <c r="F13" s="58">
        <f>'[1]Nota II.1.1.a'!F111</f>
        <v>546498.36</v>
      </c>
      <c r="G13" s="58">
        <f>'[1]Nota II.1.1.a'!G111</f>
        <v>5629519.29</v>
      </c>
      <c r="H13" s="58">
        <f>'[1]Nota II.1.1.a'!H111</f>
        <v>-250154619.40000001</v>
      </c>
      <c r="I13" s="59">
        <f t="shared" si="1"/>
        <v>-1.3038516044616699E-8</v>
      </c>
    </row>
    <row r="14" spans="1:9" x14ac:dyDescent="0.2">
      <c r="A14" s="54" t="s">
        <v>178</v>
      </c>
      <c r="B14" s="55">
        <f>SUM(B15:B16)</f>
        <v>67442020.609999999</v>
      </c>
      <c r="C14" s="55">
        <f t="shared" ref="C14:I14" si="2">SUM(C15:C16)</f>
        <v>3211505.77</v>
      </c>
      <c r="D14" s="55">
        <f t="shared" si="2"/>
        <v>162567187.22</v>
      </c>
      <c r="E14" s="55">
        <f t="shared" si="2"/>
        <v>12920405.050000001</v>
      </c>
      <c r="F14" s="55">
        <f t="shared" si="2"/>
        <v>1412241.38</v>
      </c>
      <c r="G14" s="55">
        <f t="shared" si="2"/>
        <v>16352570.91</v>
      </c>
      <c r="H14" s="55">
        <f t="shared" si="2"/>
        <v>452794567.19</v>
      </c>
      <c r="I14" s="56">
        <f t="shared" si="2"/>
        <v>713488992.36000001</v>
      </c>
    </row>
    <row r="15" spans="1:9" x14ac:dyDescent="0.2">
      <c r="A15" s="57" t="s">
        <v>179</v>
      </c>
      <c r="B15" s="58">
        <f>'[1]Nota II.1.1.a'!B113</f>
        <v>2590859.85</v>
      </c>
      <c r="C15" s="58">
        <f>'[1]Nota II.1.1.a'!C113</f>
        <v>150703</v>
      </c>
      <c r="D15" s="58">
        <f>'[1]Nota II.1.1.a'!D113</f>
        <v>1077471.06</v>
      </c>
      <c r="E15" s="58">
        <f>'[1]Nota II.1.1.a'!E113</f>
        <v>6778140.1699999999</v>
      </c>
      <c r="F15" s="58">
        <f>'[1]Nota II.1.1.a'!F113</f>
        <v>487476.88</v>
      </c>
      <c r="G15" s="58">
        <f>'[1]Nota II.1.1.a'!G113</f>
        <v>6886530.0700000003</v>
      </c>
      <c r="H15" s="58">
        <f>'[1]Nota II.1.1.a'!H113</f>
        <v>38504923.420000002</v>
      </c>
      <c r="I15" s="59">
        <f t="shared" si="1"/>
        <v>56325401.450000003</v>
      </c>
    </row>
    <row r="16" spans="1:9" x14ac:dyDescent="0.2">
      <c r="A16" s="57" t="s">
        <v>176</v>
      </c>
      <c r="B16" s="58">
        <f>'[1]Nota II.1.1.a'!B114</f>
        <v>64851160.759999998</v>
      </c>
      <c r="C16" s="58">
        <f>'[1]Nota II.1.1.a'!C114</f>
        <v>3060802.77</v>
      </c>
      <c r="D16" s="58">
        <f>'[1]Nota II.1.1.a'!D114</f>
        <v>161489716.16</v>
      </c>
      <c r="E16" s="58">
        <f>'[1]Nota II.1.1.a'!E114</f>
        <v>6142264.8799999999</v>
      </c>
      <c r="F16" s="58">
        <f>'[1]Nota II.1.1.a'!F114</f>
        <v>924764.5</v>
      </c>
      <c r="G16" s="58">
        <f>'[1]Nota II.1.1.a'!G114</f>
        <v>9466040.8399999999</v>
      </c>
      <c r="H16" s="58">
        <f>'[1]Nota II.1.1.a'!H114</f>
        <v>414289643.76999998</v>
      </c>
      <c r="I16" s="59">
        <f t="shared" si="1"/>
        <v>657163590.90999997</v>
      </c>
    </row>
    <row r="17" spans="1:9" x14ac:dyDescent="0.2">
      <c r="A17" s="54" t="s">
        <v>7</v>
      </c>
      <c r="B17" s="55">
        <f t="shared" ref="B17:I17" si="3">B9+B10-B14</f>
        <v>10190143169.08</v>
      </c>
      <c r="C17" s="55">
        <f t="shared" si="3"/>
        <v>157663325.78999999</v>
      </c>
      <c r="D17" s="55">
        <f t="shared" si="3"/>
        <v>4622610256.2099991</v>
      </c>
      <c r="E17" s="55">
        <f t="shared" si="3"/>
        <v>287090525.94</v>
      </c>
      <c r="F17" s="55">
        <f t="shared" si="3"/>
        <v>6431383.3000000007</v>
      </c>
      <c r="G17" s="55">
        <f t="shared" si="3"/>
        <v>266601537.49000004</v>
      </c>
      <c r="H17" s="55">
        <f t="shared" si="3"/>
        <v>2109302196.3299999</v>
      </c>
      <c r="I17" s="56">
        <f t="shared" si="3"/>
        <v>17482179068.349998</v>
      </c>
    </row>
    <row r="18" spans="1:9" x14ac:dyDescent="0.2">
      <c r="A18" s="802" t="s">
        <v>180</v>
      </c>
      <c r="B18" s="818"/>
      <c r="C18" s="818"/>
      <c r="D18" s="818"/>
      <c r="E18" s="818"/>
      <c r="F18" s="818"/>
      <c r="G18" s="818"/>
      <c r="H18" s="818"/>
      <c r="I18" s="804"/>
    </row>
    <row r="19" spans="1:9" x14ac:dyDescent="0.2">
      <c r="A19" s="54" t="s">
        <v>6</v>
      </c>
      <c r="B19" s="55">
        <f>'[1]Nota II.1.1.a'!B117</f>
        <v>59277346.780000001</v>
      </c>
      <c r="C19" s="55">
        <f>'[1]Nota II.1.1.a'!C117</f>
        <v>0</v>
      </c>
      <c r="D19" s="55">
        <f>'[1]Nota II.1.1.a'!D117</f>
        <v>2094952697.4400001</v>
      </c>
      <c r="E19" s="55">
        <f>'[1]Nota II.1.1.a'!E117</f>
        <v>214420909.03</v>
      </c>
      <c r="F19" s="55">
        <f>'[1]Nota II.1.1.a'!F117</f>
        <v>5777654.4199999999</v>
      </c>
      <c r="G19" s="55">
        <f>'[1]Nota II.1.1.a'!G117</f>
        <v>218923819.93000001</v>
      </c>
      <c r="H19" s="55">
        <f>'[1]Nota II.1.1.a'!H117</f>
        <v>0</v>
      </c>
      <c r="I19" s="56">
        <f>B19+SUM(D19:H19)</f>
        <v>2593352427.6000004</v>
      </c>
    </row>
    <row r="20" spans="1:9" x14ac:dyDescent="0.2">
      <c r="A20" s="54" t="s">
        <v>174</v>
      </c>
      <c r="B20" s="55">
        <f>SUM(B21:B23)</f>
        <v>7601671.3400000008</v>
      </c>
      <c r="C20" s="55">
        <f t="shared" ref="C20:I20" si="4">SUM(C21:C23)</f>
        <v>0</v>
      </c>
      <c r="D20" s="55">
        <f t="shared" si="4"/>
        <v>146419055.88</v>
      </c>
      <c r="E20" s="55">
        <f t="shared" si="4"/>
        <v>19440309.129999999</v>
      </c>
      <c r="F20" s="55">
        <f t="shared" si="4"/>
        <v>304735.78000000003</v>
      </c>
      <c r="G20" s="55">
        <f t="shared" si="4"/>
        <v>27758503.32</v>
      </c>
      <c r="H20" s="55">
        <f t="shared" si="4"/>
        <v>0</v>
      </c>
      <c r="I20" s="56">
        <f t="shared" si="4"/>
        <v>201524275.44999999</v>
      </c>
    </row>
    <row r="21" spans="1:9" x14ac:dyDescent="0.2">
      <c r="A21" s="57" t="s">
        <v>181</v>
      </c>
      <c r="B21" s="58">
        <f>'[1]Nota II.1.1.a'!B119</f>
        <v>7413572.7300000004</v>
      </c>
      <c r="C21" s="58">
        <f>'[1]Nota II.1.1.a'!C119</f>
        <v>0</v>
      </c>
      <c r="D21" s="58">
        <f>'[1]Nota II.1.1.a'!D119</f>
        <v>138409032.34</v>
      </c>
      <c r="E21" s="58">
        <f>'[1]Nota II.1.1.a'!E119</f>
        <v>17646135.18</v>
      </c>
      <c r="F21" s="58">
        <f>'[1]Nota II.1.1.a'!F119</f>
        <v>304735.78000000003</v>
      </c>
      <c r="G21" s="58">
        <f>'[1]Nota II.1.1.a'!G119</f>
        <v>5380450.79</v>
      </c>
      <c r="H21" s="58">
        <f>'[1]Nota II.1.1.a'!H119</f>
        <v>0</v>
      </c>
      <c r="I21" s="59">
        <f t="shared" ref="I21:I23" si="5">B21+SUM(D21:H21)</f>
        <v>169153926.81999999</v>
      </c>
    </row>
    <row r="22" spans="1:9" x14ac:dyDescent="0.2">
      <c r="A22" s="57" t="s">
        <v>176</v>
      </c>
      <c r="B22" s="58">
        <f>'[1]Nota II.1.1.a'!B120</f>
        <v>188098.61</v>
      </c>
      <c r="C22" s="58">
        <f>'[1]Nota II.1.1.a'!C120</f>
        <v>0</v>
      </c>
      <c r="D22" s="58">
        <f>'[1]Nota II.1.1.a'!D120</f>
        <v>8010023.54</v>
      </c>
      <c r="E22" s="58">
        <f>'[1]Nota II.1.1.a'!E120</f>
        <v>1794173.95</v>
      </c>
      <c r="F22" s="58">
        <f>'[1]Nota II.1.1.a'!F120</f>
        <v>0</v>
      </c>
      <c r="G22" s="58">
        <f>'[1]Nota II.1.1.a'!G120</f>
        <v>22378052.530000001</v>
      </c>
      <c r="H22" s="58">
        <f>'[1]Nota II.1.1.a'!H120</f>
        <v>0</v>
      </c>
      <c r="I22" s="59">
        <f t="shared" si="5"/>
        <v>32370348.630000003</v>
      </c>
    </row>
    <row r="23" spans="1:9" x14ac:dyDescent="0.2">
      <c r="A23" s="57" t="s">
        <v>177</v>
      </c>
      <c r="B23" s="58">
        <f>'[1]Nota II.1.1.a'!B121</f>
        <v>0</v>
      </c>
      <c r="C23" s="58">
        <f>'[1]Nota II.1.1.a'!C121</f>
        <v>0</v>
      </c>
      <c r="D23" s="58">
        <f>'[1]Nota II.1.1.a'!D121</f>
        <v>0</v>
      </c>
      <c r="E23" s="58">
        <f>'[1]Nota II.1.1.a'!E121</f>
        <v>0</v>
      </c>
      <c r="F23" s="58">
        <f>'[1]Nota II.1.1.a'!F121</f>
        <v>0</v>
      </c>
      <c r="G23" s="58">
        <f>'[1]Nota II.1.1.a'!G121</f>
        <v>0</v>
      </c>
      <c r="H23" s="58">
        <f>'[1]Nota II.1.1.a'!H121</f>
        <v>0</v>
      </c>
      <c r="I23" s="59">
        <f t="shared" si="5"/>
        <v>0</v>
      </c>
    </row>
    <row r="24" spans="1:9" x14ac:dyDescent="0.2">
      <c r="A24" s="54" t="s">
        <v>178</v>
      </c>
      <c r="B24" s="55">
        <f>SUM(B25:B26)</f>
        <v>3497462.14</v>
      </c>
      <c r="C24" s="55">
        <f t="shared" ref="C24:I24" si="6">SUM(C25:C26)</f>
        <v>0</v>
      </c>
      <c r="D24" s="55">
        <f t="shared" si="6"/>
        <v>13572417.25</v>
      </c>
      <c r="E24" s="55">
        <f t="shared" si="6"/>
        <v>8140700.9500000002</v>
      </c>
      <c r="F24" s="55">
        <f t="shared" si="6"/>
        <v>1234311.3799999999</v>
      </c>
      <c r="G24" s="55">
        <f t="shared" si="6"/>
        <v>10613713.82</v>
      </c>
      <c r="H24" s="55">
        <f t="shared" si="6"/>
        <v>0</v>
      </c>
      <c r="I24" s="56">
        <f t="shared" si="6"/>
        <v>37058605.539999999</v>
      </c>
    </row>
    <row r="25" spans="1:9" x14ac:dyDescent="0.2">
      <c r="A25" s="57" t="s">
        <v>179</v>
      </c>
      <c r="B25" s="58">
        <f>'[1]Nota II.1.1.a'!B123</f>
        <v>283172.33</v>
      </c>
      <c r="C25" s="58">
        <f>'[1]Nota II.1.1.a'!C123</f>
        <v>0</v>
      </c>
      <c r="D25" s="58">
        <f>'[1]Nota II.1.1.a'!D123</f>
        <v>510566.08</v>
      </c>
      <c r="E25" s="58">
        <f>'[1]Nota II.1.1.a'!E123</f>
        <v>6462698.8799999999</v>
      </c>
      <c r="F25" s="58">
        <f>'[1]Nota II.1.1.a'!F123</f>
        <v>487015.78</v>
      </c>
      <c r="G25" s="58">
        <f>'[1]Nota II.1.1.a'!G123</f>
        <v>6304055.0099999998</v>
      </c>
      <c r="H25" s="58">
        <f>'[1]Nota II.1.1.a'!H123</f>
        <v>0</v>
      </c>
      <c r="I25" s="59">
        <f t="shared" ref="I25:I26" si="7">B25+SUM(D25:H25)</f>
        <v>14047508.08</v>
      </c>
    </row>
    <row r="26" spans="1:9" x14ac:dyDescent="0.2">
      <c r="A26" s="57" t="s">
        <v>176</v>
      </c>
      <c r="B26" s="58">
        <f>'[1]Nota II.1.1.a'!B124</f>
        <v>3214289.81</v>
      </c>
      <c r="C26" s="58">
        <f>'[1]Nota II.1.1.a'!C124</f>
        <v>0</v>
      </c>
      <c r="D26" s="58">
        <f>'[1]Nota II.1.1.a'!D124</f>
        <v>13061851.17</v>
      </c>
      <c r="E26" s="58">
        <f>'[1]Nota II.1.1.a'!E124</f>
        <v>1678002.07</v>
      </c>
      <c r="F26" s="58">
        <f>'[1]Nota II.1.1.a'!F124</f>
        <v>747295.6</v>
      </c>
      <c r="G26" s="58">
        <f>'[1]Nota II.1.1.a'!G124</f>
        <v>4309658.8099999996</v>
      </c>
      <c r="H26" s="58">
        <f>'[1]Nota II.1.1.a'!H124</f>
        <v>0</v>
      </c>
      <c r="I26" s="59">
        <f t="shared" si="7"/>
        <v>23011097.459999997</v>
      </c>
    </row>
    <row r="27" spans="1:9" x14ac:dyDescent="0.2">
      <c r="A27" s="54" t="s">
        <v>7</v>
      </c>
      <c r="B27" s="55">
        <f>B19+B20-B24</f>
        <v>63381555.980000004</v>
      </c>
      <c r="C27" s="55">
        <f t="shared" ref="C27:I27" si="8">C19+C20-C24</f>
        <v>0</v>
      </c>
      <c r="D27" s="55">
        <f t="shared" si="8"/>
        <v>2227799336.0700002</v>
      </c>
      <c r="E27" s="55">
        <f t="shared" si="8"/>
        <v>225720517.21000001</v>
      </c>
      <c r="F27" s="55">
        <f t="shared" si="8"/>
        <v>4848078.82</v>
      </c>
      <c r="G27" s="55">
        <f t="shared" si="8"/>
        <v>236068609.43000001</v>
      </c>
      <c r="H27" s="55">
        <f t="shared" si="8"/>
        <v>0</v>
      </c>
      <c r="I27" s="56">
        <f t="shared" si="8"/>
        <v>2757818097.5100002</v>
      </c>
    </row>
    <row r="28" spans="1:9" x14ac:dyDescent="0.2">
      <c r="A28" s="802" t="s">
        <v>182</v>
      </c>
      <c r="B28" s="818"/>
      <c r="C28" s="818"/>
      <c r="D28" s="818"/>
      <c r="E28" s="818"/>
      <c r="F28" s="818"/>
      <c r="G28" s="818"/>
      <c r="H28" s="818"/>
      <c r="I28" s="804"/>
    </row>
    <row r="29" spans="1:9" x14ac:dyDescent="0.2">
      <c r="A29" s="54" t="s">
        <v>6</v>
      </c>
      <c r="B29" s="55">
        <f>'[1]Nota II.1.1.a'!B127</f>
        <v>16674169.43</v>
      </c>
      <c r="C29" s="55">
        <f>'[1]Nota II.1.1.a'!C127</f>
        <v>16674169.43</v>
      </c>
      <c r="D29" s="55">
        <f>'[1]Nota II.1.1.a'!D127</f>
        <v>0</v>
      </c>
      <c r="E29" s="55">
        <f>'[1]Nota II.1.1.a'!E127</f>
        <v>0</v>
      </c>
      <c r="F29" s="55">
        <f>'[1]Nota II.1.1.a'!F127</f>
        <v>0</v>
      </c>
      <c r="G29" s="55">
        <f>'[1]Nota II.1.1.a'!G127</f>
        <v>0</v>
      </c>
      <c r="H29" s="55">
        <f>'[1]Nota II.1.1.a'!H127</f>
        <v>4405243.4800000004</v>
      </c>
      <c r="I29" s="56">
        <f>B29+SUM(D29:H29)</f>
        <v>21079412.91</v>
      </c>
    </row>
    <row r="30" spans="1:9" x14ac:dyDescent="0.2">
      <c r="A30" s="57" t="s">
        <v>183</v>
      </c>
      <c r="B30" s="58">
        <f>'[1]Nota II.1.1.a'!B128</f>
        <v>807172.38</v>
      </c>
      <c r="C30" s="58">
        <f>'[1]Nota II.1.1.a'!C128</f>
        <v>807172.38</v>
      </c>
      <c r="D30" s="58">
        <f>'[1]Nota II.1.1.a'!D128</f>
        <v>0</v>
      </c>
      <c r="E30" s="58">
        <f>'[1]Nota II.1.1.a'!E128</f>
        <v>0</v>
      </c>
      <c r="F30" s="58">
        <f>'[1]Nota II.1.1.a'!F128</f>
        <v>0</v>
      </c>
      <c r="G30" s="58">
        <f>'[1]Nota II.1.1.a'!G128</f>
        <v>0</v>
      </c>
      <c r="H30" s="58">
        <f>'[1]Nota II.1.1.a'!H128</f>
        <v>0</v>
      </c>
      <c r="I30" s="59">
        <f t="shared" ref="I30:I31" si="9">B30+SUM(D30:H30)</f>
        <v>807172.38</v>
      </c>
    </row>
    <row r="31" spans="1:9" x14ac:dyDescent="0.2">
      <c r="A31" s="57" t="s">
        <v>184</v>
      </c>
      <c r="B31" s="58">
        <f>'[1]Nota II.1.1.a'!B129</f>
        <v>816008.11</v>
      </c>
      <c r="C31" s="58">
        <f>'[1]Nota II.1.1.a'!C129</f>
        <v>816008.11</v>
      </c>
      <c r="D31" s="58">
        <f>'[1]Nota II.1.1.a'!D129</f>
        <v>0</v>
      </c>
      <c r="E31" s="58">
        <f>'[1]Nota II.1.1.a'!E129</f>
        <v>0</v>
      </c>
      <c r="F31" s="58">
        <f>'[1]Nota II.1.1.a'!F129</f>
        <v>0</v>
      </c>
      <c r="G31" s="58">
        <f>'[1]Nota II.1.1.a'!G129</f>
        <v>0</v>
      </c>
      <c r="H31" s="58">
        <f>'[1]Nota II.1.1.a'!H129</f>
        <v>0</v>
      </c>
      <c r="I31" s="59">
        <f t="shared" si="9"/>
        <v>816008.11</v>
      </c>
    </row>
    <row r="32" spans="1:9" x14ac:dyDescent="0.2">
      <c r="A32" s="54" t="s">
        <v>7</v>
      </c>
      <c r="B32" s="60">
        <f>B29+B30-B31</f>
        <v>16665333.699999999</v>
      </c>
      <c r="C32" s="60">
        <f t="shared" ref="C32:I32" si="10">C29+C30-C31</f>
        <v>16665333.699999999</v>
      </c>
      <c r="D32" s="60">
        <f t="shared" si="10"/>
        <v>0</v>
      </c>
      <c r="E32" s="60">
        <f t="shared" si="10"/>
        <v>0</v>
      </c>
      <c r="F32" s="60">
        <f t="shared" si="10"/>
        <v>0</v>
      </c>
      <c r="G32" s="60">
        <f t="shared" si="10"/>
        <v>0</v>
      </c>
      <c r="H32" s="60">
        <f t="shared" si="10"/>
        <v>4405243.4800000004</v>
      </c>
      <c r="I32" s="61">
        <f t="shared" si="10"/>
        <v>21070577.18</v>
      </c>
    </row>
    <row r="33" spans="1:9" x14ac:dyDescent="0.2">
      <c r="A33" s="802" t="s">
        <v>185</v>
      </c>
      <c r="B33" s="803"/>
      <c r="C33" s="803"/>
      <c r="D33" s="803"/>
      <c r="E33" s="803"/>
      <c r="F33" s="803"/>
      <c r="G33" s="803"/>
      <c r="H33" s="803"/>
      <c r="I33" s="804"/>
    </row>
    <row r="34" spans="1:9" x14ac:dyDescent="0.2">
      <c r="A34" s="62" t="s">
        <v>6</v>
      </c>
      <c r="B34" s="63">
        <f t="shared" ref="B34:I34" si="11">B9-B19-B29</f>
        <v>9474024857.3899994</v>
      </c>
      <c r="C34" s="63">
        <f t="shared" si="11"/>
        <v>142930070.69</v>
      </c>
      <c r="D34" s="63">
        <f t="shared" si="11"/>
        <v>2239406267.1299996</v>
      </c>
      <c r="E34" s="63">
        <f t="shared" si="11"/>
        <v>49657990.300000012</v>
      </c>
      <c r="F34" s="63">
        <f t="shared" si="11"/>
        <v>1167998.0600000005</v>
      </c>
      <c r="G34" s="63">
        <f t="shared" si="11"/>
        <v>31841519.650000006</v>
      </c>
      <c r="H34" s="63">
        <f t="shared" si="11"/>
        <v>2019972891</v>
      </c>
      <c r="I34" s="64">
        <f t="shared" si="11"/>
        <v>13816071523.529999</v>
      </c>
    </row>
    <row r="35" spans="1:9" ht="13.5" thickBot="1" x14ac:dyDescent="0.25">
      <c r="A35" s="65" t="s">
        <v>186</v>
      </c>
      <c r="B35" s="66">
        <f>B17-B27-B32</f>
        <v>10110096279.4</v>
      </c>
      <c r="C35" s="66">
        <f t="shared" ref="C35:I35" si="12">C17-C27-C32</f>
        <v>140997992.09</v>
      </c>
      <c r="D35" s="66">
        <f t="shared" si="12"/>
        <v>2394810920.1399989</v>
      </c>
      <c r="E35" s="66">
        <f t="shared" si="12"/>
        <v>61370008.729999989</v>
      </c>
      <c r="F35" s="66">
        <f t="shared" si="12"/>
        <v>1583304.4800000004</v>
      </c>
      <c r="G35" s="66">
        <f t="shared" si="12"/>
        <v>30532928.060000032</v>
      </c>
      <c r="H35" s="66">
        <f t="shared" si="12"/>
        <v>2104896952.8499999</v>
      </c>
      <c r="I35" s="67">
        <f t="shared" si="12"/>
        <v>14703290393.659998</v>
      </c>
    </row>
    <row r="36" spans="1:9" x14ac:dyDescent="0.2">
      <c r="A36" s="68"/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A37" s="68"/>
      <c r="B37" s="69"/>
      <c r="C37" s="69"/>
      <c r="D37" s="69"/>
      <c r="E37" s="69"/>
      <c r="F37" s="69"/>
      <c r="G37" s="69"/>
      <c r="H37" s="69"/>
      <c r="I37" s="69"/>
    </row>
    <row r="38" spans="1:9" x14ac:dyDescent="0.2">
      <c r="A38" s="68"/>
      <c r="B38" s="69"/>
      <c r="C38" s="69"/>
      <c r="D38" s="69"/>
      <c r="E38" s="69"/>
      <c r="F38" s="69"/>
      <c r="G38" s="69"/>
      <c r="H38" s="69"/>
      <c r="I38" s="69"/>
    </row>
    <row r="39" spans="1:9" x14ac:dyDescent="0.2">
      <c r="A39" s="70" t="s">
        <v>187</v>
      </c>
      <c r="B39" s="70"/>
    </row>
    <row r="40" spans="1:9" ht="13.5" thickBot="1" x14ac:dyDescent="0.25">
      <c r="A40" s="71"/>
      <c r="B40" s="71"/>
    </row>
    <row r="41" spans="1:9" ht="21.75" customHeight="1" x14ac:dyDescent="0.25">
      <c r="A41" s="805" t="s">
        <v>188</v>
      </c>
      <c r="B41" s="806"/>
      <c r="C41" s="807"/>
    </row>
    <row r="42" spans="1:9" ht="13.5" customHeight="1" x14ac:dyDescent="0.25">
      <c r="A42" s="808"/>
      <c r="B42" s="809"/>
      <c r="C42" s="810"/>
    </row>
    <row r="43" spans="1:9" ht="29.25" customHeight="1" x14ac:dyDescent="0.25">
      <c r="A43" s="811"/>
      <c r="B43" s="812"/>
      <c r="C43" s="813"/>
    </row>
    <row r="44" spans="1:9" x14ac:dyDescent="0.2">
      <c r="A44" s="777" t="s">
        <v>173</v>
      </c>
      <c r="B44" s="778"/>
      <c r="C44" s="779"/>
    </row>
    <row r="45" spans="1:9" x14ac:dyDescent="0.2">
      <c r="A45" s="775" t="s">
        <v>6</v>
      </c>
      <c r="B45" s="776"/>
      <c r="C45" s="61">
        <f>'[1]Nota II.1.b'!B101</f>
        <v>215736741.66999999</v>
      </c>
    </row>
    <row r="46" spans="1:9" x14ac:dyDescent="0.2">
      <c r="A46" s="798" t="s">
        <v>174</v>
      </c>
      <c r="B46" s="799"/>
      <c r="C46" s="72">
        <f>SUM(C47:C48)</f>
        <v>16100325.899999999</v>
      </c>
    </row>
    <row r="47" spans="1:9" x14ac:dyDescent="0.2">
      <c r="A47" s="800" t="s">
        <v>175</v>
      </c>
      <c r="B47" s="801"/>
      <c r="C47" s="73">
        <f>'[1]Nota II.1.b'!B103</f>
        <v>15834576.789999999</v>
      </c>
    </row>
    <row r="48" spans="1:9" x14ac:dyDescent="0.2">
      <c r="A48" s="800" t="s">
        <v>176</v>
      </c>
      <c r="B48" s="801"/>
      <c r="C48" s="73">
        <f>'[1]Nota II.1.b'!B104</f>
        <v>265749.11</v>
      </c>
    </row>
    <row r="49" spans="1:3" x14ac:dyDescent="0.2">
      <c r="A49" s="798" t="s">
        <v>178</v>
      </c>
      <c r="B49" s="799"/>
      <c r="C49" s="72">
        <f>SUM(C50:C51)</f>
        <v>2711149.3200000003</v>
      </c>
    </row>
    <row r="50" spans="1:3" x14ac:dyDescent="0.2">
      <c r="A50" s="800" t="s">
        <v>179</v>
      </c>
      <c r="B50" s="801"/>
      <c r="C50" s="73">
        <f>'[1]Nota II.1.b'!B106</f>
        <v>1570318.48</v>
      </c>
    </row>
    <row r="51" spans="1:3" x14ac:dyDescent="0.2">
      <c r="A51" s="800" t="s">
        <v>176</v>
      </c>
      <c r="B51" s="801"/>
      <c r="C51" s="73">
        <f>'[1]Nota II.1.b'!B107</f>
        <v>1140830.8400000001</v>
      </c>
    </row>
    <row r="52" spans="1:3" x14ac:dyDescent="0.2">
      <c r="A52" s="798" t="s">
        <v>7</v>
      </c>
      <c r="B52" s="799"/>
      <c r="C52" s="72">
        <f>C45+C46-C49</f>
        <v>229125918.25</v>
      </c>
    </row>
    <row r="53" spans="1:3" x14ac:dyDescent="0.2">
      <c r="A53" s="777" t="s">
        <v>180</v>
      </c>
      <c r="B53" s="778"/>
      <c r="C53" s="779"/>
    </row>
    <row r="54" spans="1:3" x14ac:dyDescent="0.2">
      <c r="A54" s="775" t="s">
        <v>6</v>
      </c>
      <c r="B54" s="776"/>
      <c r="C54" s="61">
        <f>'[1]Nota II.1.b'!B110</f>
        <v>183753863.30000001</v>
      </c>
    </row>
    <row r="55" spans="1:3" x14ac:dyDescent="0.2">
      <c r="A55" s="798" t="s">
        <v>174</v>
      </c>
      <c r="B55" s="799"/>
      <c r="C55" s="72">
        <f>SUM(C56:C57)</f>
        <v>16239343.18</v>
      </c>
    </row>
    <row r="56" spans="1:3" x14ac:dyDescent="0.2">
      <c r="A56" s="800" t="s">
        <v>181</v>
      </c>
      <c r="B56" s="801"/>
      <c r="C56" s="73">
        <f>'[1]Nota II.1.b'!B112</f>
        <v>14697086.699999999</v>
      </c>
    </row>
    <row r="57" spans="1:3" x14ac:dyDescent="0.2">
      <c r="A57" s="800" t="s">
        <v>176</v>
      </c>
      <c r="B57" s="801"/>
      <c r="C57" s="73">
        <f>'[1]Nota II.1.b'!B113</f>
        <v>1542256.48</v>
      </c>
    </row>
    <row r="58" spans="1:3" x14ac:dyDescent="0.2">
      <c r="A58" s="798" t="s">
        <v>178</v>
      </c>
      <c r="B58" s="799"/>
      <c r="C58" s="72">
        <f>SUM(C59:C60)</f>
        <v>1570318.48</v>
      </c>
    </row>
    <row r="59" spans="1:3" x14ac:dyDescent="0.2">
      <c r="A59" s="800" t="s">
        <v>179</v>
      </c>
      <c r="B59" s="801"/>
      <c r="C59" s="73">
        <f>'[1]Nota II.1.b'!B115</f>
        <v>1563510.88</v>
      </c>
    </row>
    <row r="60" spans="1:3" x14ac:dyDescent="0.2">
      <c r="A60" s="790" t="s">
        <v>176</v>
      </c>
      <c r="B60" s="791"/>
      <c r="C60" s="73">
        <f>'[1]Nota II.1.b'!B116</f>
        <v>6807.6</v>
      </c>
    </row>
    <row r="61" spans="1:3" x14ac:dyDescent="0.2">
      <c r="A61" s="792" t="s">
        <v>7</v>
      </c>
      <c r="B61" s="793"/>
      <c r="C61" s="74">
        <f>C54+C55-C58</f>
        <v>198422888.00000003</v>
      </c>
    </row>
    <row r="62" spans="1:3" x14ac:dyDescent="0.2">
      <c r="A62" s="794" t="s">
        <v>182</v>
      </c>
      <c r="B62" s="795"/>
      <c r="C62" s="779"/>
    </row>
    <row r="63" spans="1:3" x14ac:dyDescent="0.2">
      <c r="A63" s="775" t="s">
        <v>6</v>
      </c>
      <c r="B63" s="776"/>
      <c r="C63" s="61">
        <f>'[1]Nota II.1.b'!B119</f>
        <v>0</v>
      </c>
    </row>
    <row r="64" spans="1:3" x14ac:dyDescent="0.2">
      <c r="A64" s="796" t="s">
        <v>183</v>
      </c>
      <c r="B64" s="797"/>
      <c r="C64" s="73">
        <f>'[1]Nota II.1.b'!B120</f>
        <v>0</v>
      </c>
    </row>
    <row r="65" spans="1:5" x14ac:dyDescent="0.2">
      <c r="A65" s="796" t="s">
        <v>184</v>
      </c>
      <c r="B65" s="797"/>
      <c r="C65" s="73">
        <f>'[1]Nota II.1.b'!B121</f>
        <v>0</v>
      </c>
    </row>
    <row r="66" spans="1:5" x14ac:dyDescent="0.2">
      <c r="A66" s="775" t="s">
        <v>7</v>
      </c>
      <c r="B66" s="776"/>
      <c r="C66" s="61">
        <f>C63+C64-C65</f>
        <v>0</v>
      </c>
    </row>
    <row r="67" spans="1:5" x14ac:dyDescent="0.2">
      <c r="A67" s="777" t="s">
        <v>185</v>
      </c>
      <c r="B67" s="778"/>
      <c r="C67" s="779"/>
    </row>
    <row r="68" spans="1:5" x14ac:dyDescent="0.2">
      <c r="A68" s="780" t="s">
        <v>6</v>
      </c>
      <c r="B68" s="781"/>
      <c r="C68" s="75">
        <f>C45-C54-C63</f>
        <v>31982878.369999975</v>
      </c>
    </row>
    <row r="69" spans="1:5" ht="15.75" customHeight="1" thickBot="1" x14ac:dyDescent="0.25">
      <c r="A69" s="782" t="s">
        <v>186</v>
      </c>
      <c r="B69" s="783"/>
      <c r="C69" s="76">
        <f>C52-C61-C66</f>
        <v>30703030.24999997</v>
      </c>
    </row>
    <row r="76" spans="1:5" x14ac:dyDescent="0.2">
      <c r="A76" s="784" t="s">
        <v>189</v>
      </c>
      <c r="B76" s="785"/>
      <c r="C76" s="785"/>
      <c r="D76" s="785"/>
      <c r="E76" s="785"/>
    </row>
    <row r="77" spans="1:5" ht="13.5" thickBot="1" x14ac:dyDescent="0.3">
      <c r="A77" s="77"/>
      <c r="B77" s="78"/>
      <c r="C77" s="78"/>
      <c r="D77" s="78"/>
      <c r="E77" s="78"/>
    </row>
    <row r="78" spans="1:5" ht="180.75" customHeight="1" thickBot="1" x14ac:dyDescent="0.3">
      <c r="A78" s="79" t="s">
        <v>190</v>
      </c>
      <c r="B78" s="80" t="s">
        <v>191</v>
      </c>
      <c r="C78" s="80" t="s">
        <v>192</v>
      </c>
      <c r="D78" s="80" t="s">
        <v>193</v>
      </c>
      <c r="E78" s="81" t="s">
        <v>194</v>
      </c>
    </row>
    <row r="79" spans="1:5" x14ac:dyDescent="0.25">
      <c r="A79" s="82" t="s">
        <v>173</v>
      </c>
      <c r="B79" s="83"/>
      <c r="C79" s="83"/>
      <c r="D79" s="83"/>
      <c r="E79" s="84"/>
    </row>
    <row r="80" spans="1:5" ht="25.5" x14ac:dyDescent="0.25">
      <c r="A80" s="85" t="s">
        <v>195</v>
      </c>
      <c r="B80" s="86">
        <f>'[1]Nota II.1.1.c'!C93</f>
        <v>423749.74</v>
      </c>
      <c r="C80" s="86">
        <f>'[1]Nota II.1.1.c'!D93</f>
        <v>18780484.579999998</v>
      </c>
      <c r="D80" s="86">
        <f>'[1]Nota II.1.1.c'!E93</f>
        <v>0</v>
      </c>
      <c r="E80" s="87">
        <f>B80+C80+D80</f>
        <v>19204234.319999997</v>
      </c>
    </row>
    <row r="81" spans="1:5" x14ac:dyDescent="0.25">
      <c r="A81" s="88" t="s">
        <v>183</v>
      </c>
      <c r="B81" s="89">
        <f>SUM(B82:B83)</f>
        <v>0</v>
      </c>
      <c r="C81" s="89">
        <f>SUM(C82:C83)</f>
        <v>74049.08</v>
      </c>
      <c r="D81" s="89">
        <f>SUM(D82:D83)</f>
        <v>0</v>
      </c>
      <c r="E81" s="90">
        <f>SUM(E82:E83)</f>
        <v>74049.08</v>
      </c>
    </row>
    <row r="82" spans="1:5" x14ac:dyDescent="0.25">
      <c r="A82" s="91" t="s">
        <v>196</v>
      </c>
      <c r="B82" s="92">
        <f>'[1]Nota II.1.1.c'!C95</f>
        <v>0</v>
      </c>
      <c r="C82" s="92">
        <f>'[1]Nota II.1.1.c'!D95</f>
        <v>0</v>
      </c>
      <c r="D82" s="92">
        <f>'[1]Nota II.1.1.c'!E95</f>
        <v>0</v>
      </c>
      <c r="E82" s="93">
        <f>B82+C82+D82</f>
        <v>0</v>
      </c>
    </row>
    <row r="83" spans="1:5" x14ac:dyDescent="0.25">
      <c r="A83" s="91" t="s">
        <v>197</v>
      </c>
      <c r="B83" s="92">
        <f>'[1]Nota II.1.1.c'!C96</f>
        <v>0</v>
      </c>
      <c r="C83" s="92">
        <f>'[1]Nota II.1.1.c'!D96</f>
        <v>74049.08</v>
      </c>
      <c r="D83" s="92">
        <f>'[1]Nota II.1.1.c'!E96</f>
        <v>0</v>
      </c>
      <c r="E83" s="93">
        <f>B83+C83+D83</f>
        <v>74049.08</v>
      </c>
    </row>
    <row r="84" spans="1:5" x14ac:dyDescent="0.25">
      <c r="A84" s="88" t="s">
        <v>184</v>
      </c>
      <c r="B84" s="89">
        <f>SUM(B85:B87)</f>
        <v>0</v>
      </c>
      <c r="C84" s="89">
        <f>SUM(C85:C87)</f>
        <v>0</v>
      </c>
      <c r="D84" s="89">
        <f>SUM(D85:D87)</f>
        <v>0</v>
      </c>
      <c r="E84" s="90">
        <f>SUM(E85:E87)</f>
        <v>0</v>
      </c>
    </row>
    <row r="85" spans="1:5" x14ac:dyDescent="0.25">
      <c r="A85" s="91" t="s">
        <v>198</v>
      </c>
      <c r="B85" s="92">
        <f>'[1]Nota II.1.1.c'!C98</f>
        <v>0</v>
      </c>
      <c r="C85" s="92">
        <f>'[1]Nota II.1.1.c'!D98</f>
        <v>0</v>
      </c>
      <c r="D85" s="92">
        <f>'[1]Nota II.1.1.c'!E98</f>
        <v>0</v>
      </c>
      <c r="E85" s="93">
        <f>B85+C85+D85</f>
        <v>0</v>
      </c>
    </row>
    <row r="86" spans="1:5" x14ac:dyDescent="0.25">
      <c r="A86" s="91" t="s">
        <v>199</v>
      </c>
      <c r="B86" s="92">
        <f>'[1]Nota II.1.1.c'!C99</f>
        <v>0</v>
      </c>
      <c r="C86" s="92">
        <f>'[1]Nota II.1.1.c'!D99</f>
        <v>0</v>
      </c>
      <c r="D86" s="92">
        <f>'[1]Nota II.1.1.c'!E99</f>
        <v>0</v>
      </c>
      <c r="E86" s="93">
        <f>B86+C86+D86</f>
        <v>0</v>
      </c>
    </row>
    <row r="87" spans="1:5" x14ac:dyDescent="0.25">
      <c r="A87" s="94" t="s">
        <v>200</v>
      </c>
      <c r="B87" s="92">
        <f>'[1]Nota II.1.1.c'!C100</f>
        <v>0</v>
      </c>
      <c r="C87" s="92">
        <f>'[1]Nota II.1.1.c'!D100</f>
        <v>0</v>
      </c>
      <c r="D87" s="92">
        <f>'[1]Nota II.1.1.c'!E100</f>
        <v>0</v>
      </c>
      <c r="E87" s="93">
        <f>B87+C87+D87</f>
        <v>0</v>
      </c>
    </row>
    <row r="88" spans="1:5" ht="26.25" thickBot="1" x14ac:dyDescent="0.3">
      <c r="A88" s="95" t="s">
        <v>201</v>
      </c>
      <c r="B88" s="96">
        <f>B80+B81-B84</f>
        <v>423749.74</v>
      </c>
      <c r="C88" s="96">
        <f>C80+C81-C84</f>
        <v>18854533.659999996</v>
      </c>
      <c r="D88" s="96">
        <f>D80+D81-D84</f>
        <v>0</v>
      </c>
      <c r="E88" s="97">
        <f>E80+E81-E84</f>
        <v>19278283.399999995</v>
      </c>
    </row>
    <row r="89" spans="1:5" x14ac:dyDescent="0.25">
      <c r="A89" s="98" t="s">
        <v>202</v>
      </c>
      <c r="B89" s="99"/>
      <c r="C89" s="99"/>
      <c r="D89" s="99"/>
      <c r="E89" s="100"/>
    </row>
    <row r="90" spans="1:5" x14ac:dyDescent="0.25">
      <c r="A90" s="85" t="s">
        <v>203</v>
      </c>
      <c r="B90" s="86">
        <f>'[1]Nota II.1.1.c'!C103</f>
        <v>0</v>
      </c>
      <c r="C90" s="86">
        <f>'[1]Nota II.1.1.c'!D103</f>
        <v>0</v>
      </c>
      <c r="D90" s="86">
        <f>'[1]Nota II.1.1.c'!E103</f>
        <v>0</v>
      </c>
      <c r="E90" s="87">
        <f>B90+C90+D90</f>
        <v>0</v>
      </c>
    </row>
    <row r="91" spans="1:5" x14ac:dyDescent="0.25">
      <c r="A91" s="88" t="s">
        <v>183</v>
      </c>
      <c r="B91" s="101">
        <f>'[1]Nota II.1.1.c'!C104</f>
        <v>0</v>
      </c>
      <c r="C91" s="101">
        <f>'[1]Nota II.1.1.c'!D104</f>
        <v>0</v>
      </c>
      <c r="D91" s="101">
        <f>'[1]Nota II.1.1.c'!E104</f>
        <v>0</v>
      </c>
      <c r="E91" s="102">
        <f>SUM(B91:D91)</f>
        <v>0</v>
      </c>
    </row>
    <row r="92" spans="1:5" x14ac:dyDescent="0.25">
      <c r="A92" s="88" t="s">
        <v>184</v>
      </c>
      <c r="B92" s="101">
        <f>'[1]Nota II.1.1.c'!C106</f>
        <v>0</v>
      </c>
      <c r="C92" s="101">
        <f>'[1]Nota II.1.1.c'!D106</f>
        <v>0</v>
      </c>
      <c r="D92" s="101">
        <f>'[1]Nota II.1.1.c'!E106</f>
        <v>0</v>
      </c>
      <c r="E92" s="102">
        <f>SUM(B92:D92)</f>
        <v>0</v>
      </c>
    </row>
    <row r="93" spans="1:5" ht="13.5" thickBot="1" x14ac:dyDescent="0.3">
      <c r="A93" s="95" t="s">
        <v>204</v>
      </c>
      <c r="B93" s="96">
        <f>B90+B91-B92</f>
        <v>0</v>
      </c>
      <c r="C93" s="96">
        <f>C90+C91-C92</f>
        <v>0</v>
      </c>
      <c r="D93" s="96">
        <f>D90+D91-D92</f>
        <v>0</v>
      </c>
      <c r="E93" s="97">
        <f>E90+E91-E92</f>
        <v>0</v>
      </c>
    </row>
    <row r="94" spans="1:5" x14ac:dyDescent="0.2">
      <c r="A94" s="786" t="s">
        <v>185</v>
      </c>
      <c r="B94" s="787"/>
      <c r="C94" s="788"/>
      <c r="D94" s="788"/>
      <c r="E94" s="789"/>
    </row>
    <row r="95" spans="1:5" x14ac:dyDescent="0.2">
      <c r="A95" s="62" t="s">
        <v>6</v>
      </c>
      <c r="B95" s="103">
        <f>B80-B90</f>
        <v>423749.74</v>
      </c>
      <c r="C95" s="103">
        <f>C80-C90</f>
        <v>18780484.579999998</v>
      </c>
      <c r="D95" s="103">
        <f>D80-D90</f>
        <v>0</v>
      </c>
      <c r="E95" s="104">
        <f>E80-E90</f>
        <v>19204234.319999997</v>
      </c>
    </row>
    <row r="96" spans="1:5" ht="13.5" thickBot="1" x14ac:dyDescent="0.25">
      <c r="A96" s="65" t="s">
        <v>186</v>
      </c>
      <c r="B96" s="105">
        <f>B88-B93</f>
        <v>423749.74</v>
      </c>
      <c r="C96" s="105">
        <f t="shared" ref="C96:E96" si="13">C88-C93</f>
        <v>18854533.659999996</v>
      </c>
      <c r="D96" s="105">
        <f t="shared" si="13"/>
        <v>0</v>
      </c>
      <c r="E96" s="105">
        <f t="shared" si="13"/>
        <v>19278283.399999995</v>
      </c>
    </row>
    <row r="101" spans="1:9" ht="48" customHeight="1" x14ac:dyDescent="0.2">
      <c r="A101" s="505" t="s">
        <v>205</v>
      </c>
      <c r="B101" s="764"/>
      <c r="C101" s="764"/>
      <c r="D101" s="415"/>
      <c r="E101" s="415"/>
      <c r="F101" s="415"/>
      <c r="G101" s="415"/>
    </row>
    <row r="102" spans="1:9" x14ac:dyDescent="0.2">
      <c r="A102" s="765"/>
      <c r="B102" s="766"/>
      <c r="C102" s="766"/>
    </row>
    <row r="103" spans="1:9" s="108" customFormat="1" ht="13.5" customHeight="1" x14ac:dyDescent="0.2">
      <c r="A103" s="106" t="s">
        <v>206</v>
      </c>
      <c r="B103" s="107"/>
      <c r="C103" s="107"/>
      <c r="E103" s="106"/>
    </row>
    <row r="104" spans="1:9" s="108" customFormat="1" x14ac:dyDescent="0.2">
      <c r="A104" s="106" t="s">
        <v>207</v>
      </c>
      <c r="B104" s="109"/>
      <c r="C104" s="109"/>
      <c r="E104" s="106"/>
    </row>
    <row r="105" spans="1:9" s="108" customFormat="1" x14ac:dyDescent="0.2">
      <c r="A105" s="110"/>
      <c r="B105" s="110"/>
      <c r="C105" s="110"/>
    </row>
    <row r="107" spans="1:9" x14ac:dyDescent="0.2">
      <c r="A107" s="505" t="s">
        <v>208</v>
      </c>
      <c r="B107" s="764"/>
      <c r="C107" s="764"/>
      <c r="D107" s="415"/>
      <c r="E107" s="415"/>
      <c r="F107" s="415"/>
      <c r="G107" s="415"/>
    </row>
    <row r="108" spans="1:9" ht="13.5" thickBot="1" x14ac:dyDescent="0.25">
      <c r="A108" s="765"/>
      <c r="B108" s="766"/>
      <c r="C108" s="766"/>
    </row>
    <row r="109" spans="1:9" ht="13.5" customHeight="1" x14ac:dyDescent="0.2">
      <c r="A109" s="770"/>
      <c r="B109" s="772" t="s">
        <v>209</v>
      </c>
      <c r="C109" s="773"/>
      <c r="D109" s="773"/>
      <c r="E109" s="773"/>
      <c r="F109" s="774"/>
      <c r="G109" s="772" t="s">
        <v>210</v>
      </c>
      <c r="H109" s="773"/>
      <c r="I109" s="774"/>
    </row>
    <row r="110" spans="1:9" ht="38.25" x14ac:dyDescent="0.2">
      <c r="A110" s="771"/>
      <c r="B110" s="111" t="s">
        <v>211</v>
      </c>
      <c r="C110" s="112" t="s">
        <v>212</v>
      </c>
      <c r="D110" s="112" t="s">
        <v>213</v>
      </c>
      <c r="E110" s="112" t="s">
        <v>214</v>
      </c>
      <c r="F110" s="113" t="s">
        <v>215</v>
      </c>
      <c r="G110" s="114" t="s">
        <v>216</v>
      </c>
      <c r="H110" s="115" t="s">
        <v>217</v>
      </c>
      <c r="I110" s="116" t="s">
        <v>218</v>
      </c>
    </row>
    <row r="111" spans="1:9" x14ac:dyDescent="0.2">
      <c r="A111" s="117" t="s">
        <v>6</v>
      </c>
      <c r="B111" s="118">
        <f>'[1]Nota II.1.3'!B76</f>
        <v>0</v>
      </c>
      <c r="C111" s="118">
        <f>'[1]Nota II.1.3'!C76</f>
        <v>21079412.91</v>
      </c>
      <c r="D111" s="118">
        <f>'[1]Nota II.1.3'!D76</f>
        <v>0</v>
      </c>
      <c r="E111" s="118">
        <f>'[1]Nota II.1.3'!E76</f>
        <v>51681962.789999999</v>
      </c>
      <c r="F111" s="118">
        <f>'[1]Nota II.1.3'!F76</f>
        <v>0</v>
      </c>
      <c r="G111" s="118">
        <f>'[1]Nota II.1.3'!G76</f>
        <v>55233662.079999998</v>
      </c>
      <c r="H111" s="118">
        <f>'[1]Nota II.1.3'!H76</f>
        <v>0</v>
      </c>
      <c r="I111" s="119">
        <f>'[1]Nota II.1.3'!I76</f>
        <v>0</v>
      </c>
    </row>
    <row r="112" spans="1:9" ht="38.25" x14ac:dyDescent="0.2">
      <c r="A112" s="120" t="s">
        <v>219</v>
      </c>
      <c r="B112" s="121">
        <f>'[1]Nota II.1.3'!B77</f>
        <v>0</v>
      </c>
      <c r="C112" s="122">
        <f>'[1]Nota II.1.3'!C77</f>
        <v>807172.38</v>
      </c>
      <c r="D112" s="122">
        <f>'[1]Nota II.1.3'!D77</f>
        <v>0</v>
      </c>
      <c r="E112" s="122">
        <f>'[1]Nota II.1.3'!E77</f>
        <v>2959968.4</v>
      </c>
      <c r="F112" s="123">
        <f>'[1]Nota II.1.3'!F77</f>
        <v>0</v>
      </c>
      <c r="G112" s="124">
        <f>'[1]Nota II.1.3'!G77</f>
        <v>24272163.469999999</v>
      </c>
      <c r="H112" s="122">
        <f>'[1]Nota II.1.3'!H77</f>
        <v>0</v>
      </c>
      <c r="I112" s="119">
        <f>'[1]Nota II.1.3'!I77</f>
        <v>0</v>
      </c>
    </row>
    <row r="113" spans="1:9" ht="38.25" x14ac:dyDescent="0.2">
      <c r="A113" s="120" t="s">
        <v>220</v>
      </c>
      <c r="B113" s="121">
        <f>'[1]Nota II.1.3'!B78</f>
        <v>0</v>
      </c>
      <c r="C113" s="122">
        <f>'[1]Nota II.1.3'!C78</f>
        <v>816008.11</v>
      </c>
      <c r="D113" s="122">
        <f>'[1]Nota II.1.3'!D78</f>
        <v>0</v>
      </c>
      <c r="E113" s="122">
        <f>'[1]Nota II.1.3'!E78</f>
        <v>0</v>
      </c>
      <c r="F113" s="123">
        <f>'[1]Nota II.1.3'!F78</f>
        <v>0</v>
      </c>
      <c r="G113" s="124">
        <f>'[1]Nota II.1.3'!G78</f>
        <v>13464062.619999999</v>
      </c>
      <c r="H113" s="122">
        <f>'[1]Nota II.1.3'!H78</f>
        <v>0</v>
      </c>
      <c r="I113" s="119">
        <f>'[1]Nota II.1.3'!I78</f>
        <v>0</v>
      </c>
    </row>
    <row r="114" spans="1:9" ht="13.5" thickBot="1" x14ac:dyDescent="0.25">
      <c r="A114" s="125" t="s">
        <v>7</v>
      </c>
      <c r="B114" s="126">
        <f>B111+B112-B113</f>
        <v>0</v>
      </c>
      <c r="C114" s="126">
        <f>C111+C112-C113</f>
        <v>21070577.18</v>
      </c>
      <c r="D114" s="126">
        <f t="shared" ref="D114:E114" si="14">D111+D112-D113</f>
        <v>0</v>
      </c>
      <c r="E114" s="126">
        <f t="shared" si="14"/>
        <v>54641931.189999998</v>
      </c>
      <c r="F114" s="127">
        <f>F111+F112-F113</f>
        <v>0</v>
      </c>
      <c r="G114" s="126">
        <f>G111+G112-G113</f>
        <v>66041762.93</v>
      </c>
      <c r="H114" s="126">
        <f>H111+H112-H113</f>
        <v>0</v>
      </c>
      <c r="I114" s="127">
        <f>I111+I112-I113</f>
        <v>0</v>
      </c>
    </row>
    <row r="117" spans="1:9" x14ac:dyDescent="0.2">
      <c r="A117" s="505" t="s">
        <v>221</v>
      </c>
      <c r="B117" s="764"/>
      <c r="C117" s="764"/>
    </row>
    <row r="118" spans="1:9" ht="13.5" thickBot="1" x14ac:dyDescent="0.25">
      <c r="A118" s="765"/>
      <c r="B118" s="766"/>
      <c r="C118" s="766"/>
    </row>
    <row r="119" spans="1:9" ht="30" customHeight="1" x14ac:dyDescent="0.2">
      <c r="A119" s="128" t="s">
        <v>222</v>
      </c>
      <c r="B119" s="129" t="s">
        <v>6</v>
      </c>
      <c r="C119" s="130" t="s">
        <v>7</v>
      </c>
    </row>
    <row r="120" spans="1:9" ht="26.25" thickBot="1" x14ac:dyDescent="0.25">
      <c r="A120" s="131" t="s">
        <v>223</v>
      </c>
      <c r="B120" s="132">
        <f>'[1]Nota II.1.4'!B33</f>
        <v>230745643.31999999</v>
      </c>
      <c r="C120" s="133">
        <f>'[1]Nota II.1.4'!C33</f>
        <v>248984151.03999999</v>
      </c>
    </row>
    <row r="126" spans="1:9" ht="50.25" customHeight="1" x14ac:dyDescent="0.2">
      <c r="A126" s="505" t="s">
        <v>224</v>
      </c>
      <c r="B126" s="764"/>
      <c r="C126" s="764"/>
      <c r="D126" s="415"/>
    </row>
    <row r="127" spans="1:9" ht="13.5" thickBot="1" x14ac:dyDescent="0.25">
      <c r="A127" s="765"/>
      <c r="B127" s="766"/>
      <c r="C127" s="766"/>
    </row>
    <row r="128" spans="1:9" x14ac:dyDescent="0.2">
      <c r="A128" s="767" t="s">
        <v>190</v>
      </c>
      <c r="B128" s="768"/>
      <c r="C128" s="129" t="s">
        <v>6</v>
      </c>
      <c r="D128" s="130" t="s">
        <v>7</v>
      </c>
    </row>
    <row r="129" spans="1:9" ht="66" customHeight="1" x14ac:dyDescent="0.2">
      <c r="A129" s="730" t="s">
        <v>225</v>
      </c>
      <c r="B129" s="769"/>
      <c r="C129" s="134">
        <f>C131+SUM(C132:C135)</f>
        <v>5535976.1200000001</v>
      </c>
      <c r="D129" s="135">
        <f>D131+SUM(D132:D135)</f>
        <v>5491403.1200000001</v>
      </c>
    </row>
    <row r="130" spans="1:9" x14ac:dyDescent="0.2">
      <c r="A130" s="756" t="s">
        <v>226</v>
      </c>
      <c r="B130" s="757"/>
      <c r="C130" s="136"/>
      <c r="D130" s="137"/>
    </row>
    <row r="131" spans="1:9" x14ac:dyDescent="0.2">
      <c r="A131" s="758" t="s">
        <v>227</v>
      </c>
      <c r="B131" s="759"/>
      <c r="C131" s="138">
        <f>'[1]Nota II.1.5'!B54</f>
        <v>0</v>
      </c>
      <c r="D131" s="139">
        <f>'[1]Nota II.1.5'!C54</f>
        <v>0</v>
      </c>
    </row>
    <row r="132" spans="1:9" x14ac:dyDescent="0.2">
      <c r="A132" s="760" t="s">
        <v>228</v>
      </c>
      <c r="B132" s="761"/>
      <c r="C132" s="138">
        <f>'[1]Nota II.1.5'!B55</f>
        <v>0</v>
      </c>
      <c r="D132" s="139">
        <f>'[1]Nota II.1.5'!C55</f>
        <v>0</v>
      </c>
    </row>
    <row r="133" spans="1:9" x14ac:dyDescent="0.2">
      <c r="A133" s="760" t="s">
        <v>168</v>
      </c>
      <c r="B133" s="761"/>
      <c r="C133" s="138">
        <f>'[1]Nota II.1.5'!B56</f>
        <v>415715.2</v>
      </c>
      <c r="D133" s="139">
        <f>'[1]Nota II.1.5'!C56</f>
        <v>402715.2</v>
      </c>
    </row>
    <row r="134" spans="1:9" x14ac:dyDescent="0.2">
      <c r="A134" s="760" t="s">
        <v>169</v>
      </c>
      <c r="B134" s="761"/>
      <c r="C134" s="138">
        <f>'[1]Nota II.1.5'!B57</f>
        <v>5102186</v>
      </c>
      <c r="D134" s="139">
        <f>'[1]Nota II.1.5'!C57</f>
        <v>5070613</v>
      </c>
    </row>
    <row r="135" spans="1:9" ht="13.5" thickBot="1" x14ac:dyDescent="0.25">
      <c r="A135" s="762" t="s">
        <v>170</v>
      </c>
      <c r="B135" s="763"/>
      <c r="C135" s="140">
        <f>'[1]Nota II.1.5'!B58</f>
        <v>18074.919999999998</v>
      </c>
      <c r="D135" s="141">
        <f>'[1]Nota II.1.5'!C58</f>
        <v>18074.919999999998</v>
      </c>
    </row>
    <row r="137" spans="1:9" x14ac:dyDescent="0.25">
      <c r="A137" s="142" t="s">
        <v>229</v>
      </c>
    </row>
    <row r="138" spans="1:9" x14ac:dyDescent="0.25">
      <c r="A138" s="142" t="s">
        <v>230</v>
      </c>
    </row>
    <row r="139" spans="1:9" x14ac:dyDescent="0.25">
      <c r="A139" s="142"/>
    </row>
    <row r="143" spans="1:9" x14ac:dyDescent="0.25">
      <c r="A143" s="431" t="s">
        <v>231</v>
      </c>
      <c r="B143" s="580"/>
      <c r="C143" s="580"/>
      <c r="D143" s="580"/>
      <c r="E143" s="580"/>
      <c r="F143" s="580"/>
      <c r="G143" s="580"/>
      <c r="H143" s="580"/>
      <c r="I143" s="580"/>
    </row>
    <row r="144" spans="1:9" ht="6" customHeight="1" thickBot="1" x14ac:dyDescent="0.3">
      <c r="B144" s="143"/>
      <c r="C144" s="143"/>
      <c r="D144" s="143"/>
      <c r="E144" s="143" t="s">
        <v>232</v>
      </c>
      <c r="F144" s="144"/>
      <c r="G144" s="144"/>
      <c r="H144" s="144"/>
      <c r="I144" s="144"/>
    </row>
    <row r="145" spans="1:10" ht="89.25" customHeight="1" thickBot="1" x14ac:dyDescent="0.3">
      <c r="A145" s="694" t="s">
        <v>233</v>
      </c>
      <c r="B145" s="753"/>
      <c r="C145" s="145" t="s">
        <v>234</v>
      </c>
      <c r="D145" s="146" t="s">
        <v>235</v>
      </c>
      <c r="E145" s="145" t="s">
        <v>236</v>
      </c>
      <c r="F145" s="147" t="s">
        <v>237</v>
      </c>
      <c r="G145" s="145" t="s">
        <v>238</v>
      </c>
      <c r="H145" s="145" t="s">
        <v>239</v>
      </c>
      <c r="I145" s="148" t="s">
        <v>240</v>
      </c>
    </row>
    <row r="146" spans="1:10" x14ac:dyDescent="0.25">
      <c r="A146" s="751" t="s">
        <v>7</v>
      </c>
      <c r="B146" s="752"/>
      <c r="C146" s="149"/>
      <c r="D146" s="149"/>
      <c r="E146" s="149"/>
      <c r="F146" s="149"/>
      <c r="G146" s="149"/>
      <c r="H146" s="149"/>
      <c r="I146" s="150"/>
    </row>
    <row r="147" spans="1:10" ht="15" customHeight="1" x14ac:dyDescent="0.2">
      <c r="A147" s="754" t="s">
        <v>241</v>
      </c>
      <c r="B147" s="755"/>
      <c r="C147" s="151">
        <f>'[1]Nota II.1.6'!C414</f>
        <v>10406</v>
      </c>
      <c r="D147" s="152">
        <f>'[1]Nota II.1.6'!D414</f>
        <v>100</v>
      </c>
      <c r="E147" s="152">
        <f>'[1]Nota II.1.6'!E414</f>
        <v>520300</v>
      </c>
      <c r="F147" s="152">
        <f>'[1]Nota II.1.6'!F414</f>
        <v>0</v>
      </c>
      <c r="G147" s="152">
        <f>'[1]Nota II.1.6'!G414</f>
        <v>520300</v>
      </c>
      <c r="H147" s="152">
        <f>'[1]Nota II.1.6'!H414</f>
        <v>-422600</v>
      </c>
      <c r="I147" s="152">
        <f>'[1]Nota II.1.6'!I414</f>
        <v>1486700</v>
      </c>
      <c r="J147" s="153"/>
    </row>
    <row r="148" spans="1:10" x14ac:dyDescent="0.2">
      <c r="A148" s="747" t="s">
        <v>242</v>
      </c>
      <c r="B148" s="748"/>
      <c r="C148" s="151">
        <f>'[1]Nota II.1.6'!C415</f>
        <v>690835</v>
      </c>
      <c r="D148" s="152">
        <f>'[1]Nota II.1.6'!D415</f>
        <v>100</v>
      </c>
      <c r="E148" s="152">
        <f>'[1]Nota II.1.6'!E415</f>
        <v>345417500</v>
      </c>
      <c r="F148" s="152">
        <f>'[1]Nota II.1.6'!F415</f>
        <v>0</v>
      </c>
      <c r="G148" s="152">
        <f>'[1]Nota II.1.6'!G415</f>
        <v>345417500</v>
      </c>
      <c r="H148" s="152">
        <f>'[1]Nota II.1.6'!H415</f>
        <v>9444000</v>
      </c>
      <c r="I148" s="152">
        <f>'[1]Nota II.1.6'!I415</f>
        <v>686182000</v>
      </c>
      <c r="J148" s="153"/>
    </row>
    <row r="149" spans="1:10" ht="26.25" customHeight="1" x14ac:dyDescent="0.2">
      <c r="A149" s="747" t="s">
        <v>243</v>
      </c>
      <c r="B149" s="748"/>
      <c r="C149" s="151">
        <f>'[1]Nota II.1.6'!C416</f>
        <v>752940</v>
      </c>
      <c r="D149" s="152">
        <f>'[1]Nota II.1.6'!D416</f>
        <v>100</v>
      </c>
      <c r="E149" s="152">
        <f>'[1]Nota II.1.6'!E416</f>
        <v>376470000</v>
      </c>
      <c r="F149" s="152">
        <f>'[1]Nota II.1.6'!F416</f>
        <v>0</v>
      </c>
      <c r="G149" s="152">
        <f>'[1]Nota II.1.6'!G416</f>
        <v>376470000</v>
      </c>
      <c r="H149" s="152">
        <f>'[1]Nota II.1.6'!H416</f>
        <v>12147783.48</v>
      </c>
      <c r="I149" s="152">
        <f>'[1]Nota II.1.6'!I416</f>
        <v>774754228.75</v>
      </c>
      <c r="J149" s="153"/>
    </row>
    <row r="150" spans="1:10" ht="15" customHeight="1" x14ac:dyDescent="0.2">
      <c r="A150" s="747" t="s">
        <v>244</v>
      </c>
      <c r="B150" s="748"/>
      <c r="C150" s="151">
        <f>'[1]Nota II.1.6'!C417</f>
        <v>375119</v>
      </c>
      <c r="D150" s="152">
        <f>'[1]Nota II.1.6'!D417</f>
        <v>100</v>
      </c>
      <c r="E150" s="152">
        <f>'[1]Nota II.1.6'!E417</f>
        <v>187559500</v>
      </c>
      <c r="F150" s="152">
        <f>'[1]Nota II.1.6'!F417</f>
        <v>0</v>
      </c>
      <c r="G150" s="152">
        <f>'[1]Nota II.1.6'!G417</f>
        <v>187559500</v>
      </c>
      <c r="H150" s="152">
        <f>'[1]Nota II.1.6'!H417</f>
        <v>2801800</v>
      </c>
      <c r="I150" s="152">
        <f>'[1]Nota II.1.6'!I417</f>
        <v>297181200</v>
      </c>
      <c r="J150" s="153"/>
    </row>
    <row r="151" spans="1:10" ht="15" customHeight="1" x14ac:dyDescent="0.2">
      <c r="A151" s="747" t="s">
        <v>245</v>
      </c>
      <c r="B151" s="748"/>
      <c r="C151" s="151">
        <f>'[1]Nota II.1.6'!C436</f>
        <v>4600</v>
      </c>
      <c r="D151" s="152">
        <f>'[1]Nota II.1.6'!D436</f>
        <v>100</v>
      </c>
      <c r="E151" s="152">
        <f>'[1]Nota II.1.6'!E436</f>
        <v>2300000</v>
      </c>
      <c r="F151" s="152">
        <f>'[1]Nota II.1.6'!F436</f>
        <v>143400</v>
      </c>
      <c r="G151" s="152">
        <f>'[1]Nota II.1.6'!G436</f>
        <v>2156600</v>
      </c>
      <c r="H151" s="152">
        <f>'[1]Nota II.1.6'!H436</f>
        <v>-1490000</v>
      </c>
      <c r="I151" s="152">
        <f>'[1]Nota II.1.6'!I436</f>
        <v>2156600</v>
      </c>
      <c r="J151" s="153"/>
    </row>
    <row r="152" spans="1:10" x14ac:dyDescent="0.2">
      <c r="A152" s="747" t="s">
        <v>246</v>
      </c>
      <c r="B152" s="748"/>
      <c r="C152" s="151">
        <f>'[1]Nota II.1.6'!C418</f>
        <v>27722501</v>
      </c>
      <c r="D152" s="152">
        <f>'[1]Nota II.1.6'!D418</f>
        <v>100</v>
      </c>
      <c r="E152" s="152">
        <f>'[1]Nota II.1.6'!E418</f>
        <v>2772250100</v>
      </c>
      <c r="F152" s="152">
        <f>'[1]Nota II.1.6'!F418</f>
        <v>0</v>
      </c>
      <c r="G152" s="152">
        <f>'[1]Nota II.1.6'!G418</f>
        <v>2772250100</v>
      </c>
      <c r="H152" s="152">
        <f>'[1]Nota II.1.6'!H418</f>
        <v>13268347.550000001</v>
      </c>
      <c r="I152" s="152">
        <f>'[1]Nota II.1.6'!I418</f>
        <v>4572412818.5799999</v>
      </c>
      <c r="J152" s="153"/>
    </row>
    <row r="153" spans="1:10" x14ac:dyDescent="0.2">
      <c r="A153" s="747" t="s">
        <v>247</v>
      </c>
      <c r="B153" s="748"/>
      <c r="C153" s="151">
        <f>'[1]Nota II.1.6'!C419</f>
        <v>1135516</v>
      </c>
      <c r="D153" s="152">
        <f>'[1]Nota II.1.6'!D419</f>
        <v>100</v>
      </c>
      <c r="E153" s="152">
        <f>'[1]Nota II.1.6'!E419</f>
        <v>567758000</v>
      </c>
      <c r="F153" s="152">
        <f>'[1]Nota II.1.6'!F419</f>
        <v>0</v>
      </c>
      <c r="G153" s="152">
        <f>'[1]Nota II.1.6'!G419</f>
        <v>567758000</v>
      </c>
      <c r="H153" s="152">
        <f>'[1]Nota II.1.6'!H419</f>
        <v>4510400</v>
      </c>
      <c r="I153" s="152">
        <f>'[1]Nota II.1.6'!I419</f>
        <v>768217700</v>
      </c>
      <c r="J153" s="153"/>
    </row>
    <row r="154" spans="1:10" x14ac:dyDescent="0.2">
      <c r="A154" s="747" t="s">
        <v>248</v>
      </c>
      <c r="B154" s="748"/>
      <c r="C154" s="151">
        <f>'[1]Nota II.1.6'!C420</f>
        <v>10000</v>
      </c>
      <c r="D154" s="152">
        <f>'[1]Nota II.1.6'!D420</f>
        <v>100</v>
      </c>
      <c r="E154" s="152">
        <f>'[1]Nota II.1.6'!E420</f>
        <v>5000000</v>
      </c>
      <c r="F154" s="152">
        <f>'[1]Nota II.1.6'!F420</f>
        <v>0</v>
      </c>
      <c r="G154" s="152">
        <f>'[1]Nota II.1.6'!G420</f>
        <v>5000000</v>
      </c>
      <c r="H154" s="152">
        <f>'[1]Nota II.1.6'!H420</f>
        <v>3511400</v>
      </c>
      <c r="I154" s="152">
        <f>'[1]Nota II.1.6'!I420</f>
        <v>28664200</v>
      </c>
      <c r="J154" s="153"/>
    </row>
    <row r="155" spans="1:10" x14ac:dyDescent="0.2">
      <c r="A155" s="747" t="s">
        <v>249</v>
      </c>
      <c r="B155" s="748"/>
      <c r="C155" s="151">
        <f>'[1]Nota II.1.6'!C421</f>
        <v>24601</v>
      </c>
      <c r="D155" s="152">
        <f>'[1]Nota II.1.6'!D421</f>
        <v>100</v>
      </c>
      <c r="E155" s="152">
        <f>'[1]Nota II.1.6'!E421</f>
        <v>1230050</v>
      </c>
      <c r="F155" s="152">
        <f>'[1]Nota II.1.6'!F421</f>
        <v>0</v>
      </c>
      <c r="G155" s="152">
        <f>'[1]Nota II.1.6'!G421</f>
        <v>1230050</v>
      </c>
      <c r="H155" s="152">
        <f>'[1]Nota II.1.6'!H421</f>
        <v>307300</v>
      </c>
      <c r="I155" s="152">
        <f>'[1]Nota II.1.6'!I421</f>
        <v>8019800</v>
      </c>
      <c r="J155" s="153"/>
    </row>
    <row r="156" spans="1:10" ht="15" customHeight="1" x14ac:dyDescent="0.2">
      <c r="A156" s="747" t="s">
        <v>250</v>
      </c>
      <c r="B156" s="748"/>
      <c r="C156" s="151">
        <f>'[1]Nota II.1.6'!C422</f>
        <v>80500</v>
      </c>
      <c r="D156" s="152">
        <f>'[1]Nota II.1.6'!D422</f>
        <v>100</v>
      </c>
      <c r="E156" s="152">
        <f>'[1]Nota II.1.6'!E422</f>
        <v>80500000</v>
      </c>
      <c r="F156" s="152">
        <f>'[1]Nota II.1.6'!F422</f>
        <v>0</v>
      </c>
      <c r="G156" s="152">
        <f>'[1]Nota II.1.6'!G422</f>
        <v>80500000</v>
      </c>
      <c r="H156" s="152">
        <f>'[1]Nota II.1.6'!H422</f>
        <v>7797300</v>
      </c>
      <c r="I156" s="152">
        <f>'[1]Nota II.1.6'!I422</f>
        <v>124528100</v>
      </c>
      <c r="J156" s="153"/>
    </row>
    <row r="157" spans="1:10" x14ac:dyDescent="0.2">
      <c r="A157" s="747" t="s">
        <v>251</v>
      </c>
      <c r="B157" s="748"/>
      <c r="C157" s="151">
        <f>'[1]Nota II.1.6'!C423</f>
        <v>287888</v>
      </c>
      <c r="D157" s="152">
        <f>'[1]Nota II.1.6'!D423</f>
        <v>100</v>
      </c>
      <c r="E157" s="152">
        <f>'[1]Nota II.1.6'!E423</f>
        <v>287888000</v>
      </c>
      <c r="F157" s="152">
        <f>'[1]Nota II.1.6'!F423</f>
        <v>0</v>
      </c>
      <c r="G157" s="152">
        <f>'[1]Nota II.1.6'!G423</f>
        <v>287888000</v>
      </c>
      <c r="H157" s="152">
        <f>'[1]Nota II.1.6'!H423</f>
        <v>8100000</v>
      </c>
      <c r="I157" s="152">
        <f>'[1]Nota II.1.6'!I423</f>
        <v>378828000</v>
      </c>
      <c r="J157" s="153"/>
    </row>
    <row r="158" spans="1:10" ht="13.5" customHeight="1" x14ac:dyDescent="0.2">
      <c r="A158" s="747" t="s">
        <v>252</v>
      </c>
      <c r="B158" s="748"/>
      <c r="C158" s="151">
        <f>'[1]Nota II.1.6'!C424</f>
        <v>301317</v>
      </c>
      <c r="D158" s="152">
        <f>'[1]Nota II.1.6'!D424</f>
        <v>100</v>
      </c>
      <c r="E158" s="152">
        <f>'[1]Nota II.1.6'!E424</f>
        <v>301317000</v>
      </c>
      <c r="F158" s="152">
        <f>'[1]Nota II.1.6'!F424</f>
        <v>0</v>
      </c>
      <c r="G158" s="152">
        <f>'[1]Nota II.1.6'!G424</f>
        <v>301317000</v>
      </c>
      <c r="H158" s="152">
        <f>'[1]Nota II.1.6'!H424</f>
        <v>4144200</v>
      </c>
      <c r="I158" s="152">
        <f>'[1]Nota II.1.6'!I424</f>
        <v>324374700</v>
      </c>
      <c r="J158" s="153"/>
    </row>
    <row r="159" spans="1:10" ht="13.5" customHeight="1" x14ac:dyDescent="0.2">
      <c r="A159" s="747" t="s">
        <v>253</v>
      </c>
      <c r="B159" s="748"/>
      <c r="C159" s="151">
        <f>'[1]Nota II.1.6'!C425</f>
        <v>2939550</v>
      </c>
      <c r="D159" s="152">
        <f>'[1]Nota II.1.6'!D425</f>
        <v>100</v>
      </c>
      <c r="E159" s="152">
        <f>'[1]Nota II.1.6'!E425</f>
        <v>1469775000</v>
      </c>
      <c r="F159" s="152">
        <f>'[1]Nota II.1.6'!F425</f>
        <v>0</v>
      </c>
      <c r="G159" s="152">
        <f>'[1]Nota II.1.6'!G425</f>
        <v>1469775000</v>
      </c>
      <c r="H159" s="152">
        <f>'[1]Nota II.1.6'!H425</f>
        <v>10756538.41</v>
      </c>
      <c r="I159" s="152">
        <f>'[1]Nota II.1.6'!I425</f>
        <v>2016062035.55</v>
      </c>
      <c r="J159" s="153"/>
    </row>
    <row r="160" spans="1:10" x14ac:dyDescent="0.2">
      <c r="A160" s="747" t="s">
        <v>254</v>
      </c>
      <c r="B160" s="748"/>
      <c r="C160" s="151">
        <f>'[1]Nota II.1.6'!C426</f>
        <v>6600</v>
      </c>
      <c r="D160" s="152">
        <f>'[1]Nota II.1.6'!D426</f>
        <v>100</v>
      </c>
      <c r="E160" s="152">
        <f>'[1]Nota II.1.6'!E426</f>
        <v>3300000</v>
      </c>
      <c r="F160" s="152">
        <f>'[1]Nota II.1.6'!F426</f>
        <v>0</v>
      </c>
      <c r="G160" s="152">
        <f>'[1]Nota II.1.6'!G426</f>
        <v>3300000</v>
      </c>
      <c r="H160" s="152">
        <f>'[1]Nota II.1.6'!H426</f>
        <v>220751.69</v>
      </c>
      <c r="I160" s="152">
        <f>'[1]Nota II.1.6'!I426</f>
        <v>5433960.1900000004</v>
      </c>
      <c r="J160" s="153"/>
    </row>
    <row r="161" spans="1:10" ht="15" customHeight="1" x14ac:dyDescent="0.2">
      <c r="A161" s="747" t="s">
        <v>255</v>
      </c>
      <c r="B161" s="748"/>
      <c r="C161" s="151">
        <f>'[1]Nota II.1.6'!C427</f>
        <v>3650</v>
      </c>
      <c r="D161" s="152">
        <f>'[1]Nota II.1.6'!D427</f>
        <v>100</v>
      </c>
      <c r="E161" s="152">
        <f>'[1]Nota II.1.6'!E427</f>
        <v>3650000</v>
      </c>
      <c r="F161" s="152">
        <f>'[1]Nota II.1.6'!F427</f>
        <v>0</v>
      </c>
      <c r="G161" s="152">
        <f>'[1]Nota II.1.6'!G427</f>
        <v>3650000</v>
      </c>
      <c r="H161" s="152">
        <f>'[1]Nota II.1.6'!H427</f>
        <v>-19764.87</v>
      </c>
      <c r="I161" s="152">
        <f>'[1]Nota II.1.6'!I427</f>
        <v>25690715.399999999</v>
      </c>
      <c r="J161" s="153"/>
    </row>
    <row r="162" spans="1:10" ht="15" customHeight="1" x14ac:dyDescent="0.2">
      <c r="A162" s="747" t="s">
        <v>256</v>
      </c>
      <c r="B162" s="748"/>
      <c r="C162" s="151">
        <f>'[1]Nota II.1.6'!C428</f>
        <v>24520</v>
      </c>
      <c r="D162" s="152">
        <f>'[1]Nota II.1.6'!D428</f>
        <v>100</v>
      </c>
      <c r="E162" s="152">
        <f>'[1]Nota II.1.6'!E428</f>
        <v>24520000</v>
      </c>
      <c r="F162" s="152">
        <f>'[1]Nota II.1.6'!F428</f>
        <v>0</v>
      </c>
      <c r="G162" s="152">
        <f>'[1]Nota II.1.6'!G428</f>
        <v>24520000</v>
      </c>
      <c r="H162" s="152">
        <f>'[1]Nota II.1.6'!H428</f>
        <v>3038501.93</v>
      </c>
      <c r="I162" s="152">
        <f>'[1]Nota II.1.6'!I428</f>
        <v>45674355.409999996</v>
      </c>
      <c r="J162" s="153"/>
    </row>
    <row r="163" spans="1:10" ht="15" customHeight="1" x14ac:dyDescent="0.2">
      <c r="A163" s="747" t="s">
        <v>257</v>
      </c>
      <c r="B163" s="748"/>
      <c r="C163" s="151">
        <f>'[1]Nota II.1.6'!C429</f>
        <v>63465</v>
      </c>
      <c r="D163" s="152">
        <f>'[1]Nota II.1.6'!D429</f>
        <v>100</v>
      </c>
      <c r="E163" s="152">
        <f>'[1]Nota II.1.6'!E429</f>
        <v>63465000</v>
      </c>
      <c r="F163" s="152">
        <f>'[1]Nota II.1.6'!F429</f>
        <v>0</v>
      </c>
      <c r="G163" s="152">
        <f>'[1]Nota II.1.6'!G429</f>
        <v>63465000</v>
      </c>
      <c r="H163" s="152">
        <f>'[1]Nota II.1.6'!H429</f>
        <v>5493492.1699999999</v>
      </c>
      <c r="I163" s="152">
        <f>'[1]Nota II.1.6'!I429</f>
        <v>71262744.120000005</v>
      </c>
      <c r="J163" s="153"/>
    </row>
    <row r="164" spans="1:10" ht="15" customHeight="1" x14ac:dyDescent="0.2">
      <c r="A164" s="747" t="s">
        <v>258</v>
      </c>
      <c r="B164" s="748"/>
      <c r="C164" s="151">
        <f>'[1]Nota II.1.6'!C437</f>
        <v>19385</v>
      </c>
      <c r="D164" s="152">
        <f>'[1]Nota II.1.6'!D437</f>
        <v>100</v>
      </c>
      <c r="E164" s="152">
        <f>'[1]Nota II.1.6'!E437</f>
        <v>19385000</v>
      </c>
      <c r="F164" s="152">
        <f>'[1]Nota II.1.6'!F437</f>
        <v>4347703.1100000003</v>
      </c>
      <c r="G164" s="152">
        <f>'[1]Nota II.1.6'!G437</f>
        <v>15037296.890000001</v>
      </c>
      <c r="H164" s="152">
        <f>'[1]Nota II.1.6'!H437</f>
        <v>-373284.91</v>
      </c>
      <c r="I164" s="152">
        <f>'[1]Nota II.1.6'!I437</f>
        <v>15037296.890000001</v>
      </c>
      <c r="J164" s="153"/>
    </row>
    <row r="165" spans="1:10" x14ac:dyDescent="0.2">
      <c r="A165" s="747" t="s">
        <v>259</v>
      </c>
      <c r="B165" s="748"/>
      <c r="C165" s="151">
        <f>'[1]Nota II.1.6'!C430</f>
        <v>23062</v>
      </c>
      <c r="D165" s="152">
        <f>'[1]Nota II.1.6'!D430</f>
        <v>100</v>
      </c>
      <c r="E165" s="152">
        <f>'[1]Nota II.1.6'!E430</f>
        <v>23062000</v>
      </c>
      <c r="F165" s="152">
        <f>'[1]Nota II.1.6'!F430</f>
        <v>2552997.44</v>
      </c>
      <c r="G165" s="152">
        <f>'[1]Nota II.1.6'!G430</f>
        <v>20509002.559999999</v>
      </c>
      <c r="H165" s="152">
        <f>'[1]Nota II.1.6'!H430</f>
        <v>-13481707.220000001</v>
      </c>
      <c r="I165" s="152">
        <f>'[1]Nota II.1.6'!I430</f>
        <v>20509002.559999999</v>
      </c>
      <c r="J165" s="153"/>
    </row>
    <row r="166" spans="1:10" ht="15" customHeight="1" x14ac:dyDescent="0.2">
      <c r="A166" s="747" t="s">
        <v>260</v>
      </c>
      <c r="B166" s="748"/>
      <c r="C166" s="151">
        <f>'[1]Nota II.1.6'!C431</f>
        <v>33437</v>
      </c>
      <c r="D166" s="152">
        <f>'[1]Nota II.1.6'!D431</f>
        <v>100</v>
      </c>
      <c r="E166" s="152">
        <f>'[1]Nota II.1.6'!E431</f>
        <v>33437000</v>
      </c>
      <c r="F166" s="152">
        <f>'[1]Nota II.1.6'!F431</f>
        <v>29442782.050000001</v>
      </c>
      <c r="G166" s="152">
        <f>'[1]Nota II.1.6'!G431</f>
        <v>3994217.95</v>
      </c>
      <c r="H166" s="152">
        <f>'[1]Nota II.1.6'!H431</f>
        <v>-41873936.530000001</v>
      </c>
      <c r="I166" s="152">
        <f>'[1]Nota II.1.6'!I431</f>
        <v>3994217.95</v>
      </c>
      <c r="J166" s="153"/>
    </row>
    <row r="167" spans="1:10" x14ac:dyDescent="0.2">
      <c r="A167" s="747" t="s">
        <v>261</v>
      </c>
      <c r="B167" s="748"/>
      <c r="C167" s="151">
        <f>'[1]Nota II.1.6'!C438</f>
        <v>5600</v>
      </c>
      <c r="D167" s="152">
        <f>'[1]Nota II.1.6'!D438</f>
        <v>100</v>
      </c>
      <c r="E167" s="152">
        <f>'[1]Nota II.1.6'!E438</f>
        <v>5600000</v>
      </c>
      <c r="F167" s="152">
        <f>'[1]Nota II.1.6'!F438</f>
        <v>0</v>
      </c>
      <c r="G167" s="152">
        <f>'[1]Nota II.1.6'!G438</f>
        <v>5600000</v>
      </c>
      <c r="H167" s="152">
        <f>'[1]Nota II.1.6'!H438</f>
        <v>-2758009.74</v>
      </c>
      <c r="I167" s="152">
        <f>'[1]Nota II.1.6'!I438</f>
        <v>15090766.32</v>
      </c>
      <c r="J167" s="153"/>
    </row>
    <row r="168" spans="1:10" ht="13.5" customHeight="1" x14ac:dyDescent="0.2">
      <c r="A168" s="747" t="s">
        <v>262</v>
      </c>
      <c r="B168" s="748"/>
      <c r="C168" s="151">
        <f>'[1]Nota II.1.6'!C439</f>
        <v>24801</v>
      </c>
      <c r="D168" s="152">
        <f>'[1]Nota II.1.6'!D439</f>
        <v>100</v>
      </c>
      <c r="E168" s="152">
        <f>'[1]Nota II.1.6'!E439</f>
        <v>24801000</v>
      </c>
      <c r="F168" s="152">
        <f>'[1]Nota II.1.6'!F439</f>
        <v>21593721.629999999</v>
      </c>
      <c r="G168" s="152">
        <f>'[1]Nota II.1.6'!G439</f>
        <v>3207278.37</v>
      </c>
      <c r="H168" s="152">
        <f>'[1]Nota II.1.6'!H439</f>
        <v>-29653750.609999999</v>
      </c>
      <c r="I168" s="152">
        <f>'[1]Nota II.1.6'!I439</f>
        <v>3207278.37</v>
      </c>
      <c r="J168" s="153"/>
    </row>
    <row r="169" spans="1:10" ht="15" customHeight="1" x14ac:dyDescent="0.2">
      <c r="A169" s="747" t="s">
        <v>263</v>
      </c>
      <c r="B169" s="748"/>
      <c r="C169" s="151">
        <f>'[1]Nota II.1.6'!C433</f>
        <v>100</v>
      </c>
      <c r="D169" s="152">
        <f>'[1]Nota II.1.6'!D433</f>
        <v>100</v>
      </c>
      <c r="E169" s="152">
        <f>'[1]Nota II.1.6'!E433</f>
        <v>50000</v>
      </c>
      <c r="F169" s="152">
        <f>'[1]Nota II.1.6'!F433</f>
        <v>50000</v>
      </c>
      <c r="G169" s="152">
        <f>'[1]Nota II.1.6'!G433</f>
        <v>0</v>
      </c>
      <c r="H169" s="152"/>
      <c r="I169" s="152"/>
      <c r="J169" s="153"/>
    </row>
    <row r="170" spans="1:10" ht="15" customHeight="1" x14ac:dyDescent="0.2">
      <c r="A170" s="747" t="s">
        <v>264</v>
      </c>
      <c r="B170" s="748"/>
      <c r="C170" s="151">
        <f>'[1]Nota II.1.6'!C440</f>
        <v>50</v>
      </c>
      <c r="D170" s="152">
        <f>'[1]Nota II.1.6'!D440</f>
        <v>100</v>
      </c>
      <c r="E170" s="152">
        <f>'[1]Nota II.1.6'!E440</f>
        <v>5000</v>
      </c>
      <c r="F170" s="152">
        <f>'[1]Nota II.1.6'!F440</f>
        <v>4943.16</v>
      </c>
      <c r="G170" s="152">
        <f>'[1]Nota II.1.6'!G440</f>
        <v>56.84</v>
      </c>
      <c r="H170" s="152"/>
      <c r="I170" s="152"/>
      <c r="J170" s="153"/>
    </row>
    <row r="171" spans="1:10" ht="15" customHeight="1" x14ac:dyDescent="0.2">
      <c r="A171" s="747" t="s">
        <v>265</v>
      </c>
      <c r="B171" s="748"/>
      <c r="C171" s="151">
        <f>'[1]Nota II.1.6'!C434</f>
        <v>16000</v>
      </c>
      <c r="D171" s="152">
        <f>'[1]Nota II.1.6'!D434</f>
        <v>40.22</v>
      </c>
      <c r="E171" s="152">
        <f>'[1]Nota II.1.6'!E434</f>
        <v>16000000</v>
      </c>
      <c r="F171" s="152">
        <f>'[1]Nota II.1.6'!F434</f>
        <v>7946992.4299999997</v>
      </c>
      <c r="G171" s="152">
        <f>'[1]Nota II.1.6'!G434</f>
        <v>8053007.5700000003</v>
      </c>
      <c r="H171" s="152">
        <f>'[1]Nota II.1.6'!H434</f>
        <v>-41900</v>
      </c>
      <c r="I171" s="152">
        <f>'[1]Nota II.1.6'!I434</f>
        <v>20023300</v>
      </c>
      <c r="J171" s="153"/>
    </row>
    <row r="172" spans="1:10" ht="15" customHeight="1" x14ac:dyDescent="0.2">
      <c r="A172" s="747" t="s">
        <v>266</v>
      </c>
      <c r="B172" s="748"/>
      <c r="C172" s="151">
        <f>'[1]Nota II.1.6'!C441</f>
        <v>360</v>
      </c>
      <c r="D172" s="152">
        <f>'[1]Nota II.1.6'!D441</f>
        <v>36</v>
      </c>
      <c r="E172" s="152">
        <f>'[1]Nota II.1.6'!E441</f>
        <v>18000</v>
      </c>
      <c r="F172" s="152">
        <f>'[1]Nota II.1.6'!F441</f>
        <v>18000</v>
      </c>
      <c r="G172" s="152">
        <f>'[1]Nota II.1.6'!G441</f>
        <v>0</v>
      </c>
      <c r="H172" s="151"/>
      <c r="I172" s="151"/>
      <c r="J172" s="153"/>
    </row>
    <row r="173" spans="1:10" ht="15" customHeight="1" thickBot="1" x14ac:dyDescent="0.25">
      <c r="A173" s="732" t="s">
        <v>267</v>
      </c>
      <c r="B173" s="733"/>
      <c r="C173" s="151">
        <f>'[1]Nota II.1.6'!C435</f>
        <v>2795</v>
      </c>
      <c r="D173" s="151"/>
      <c r="E173" s="152">
        <f>'[1]Nota II.1.6'!E435</f>
        <v>120219.86</v>
      </c>
      <c r="F173" s="152">
        <f>'[1]Nota II.1.6'!F435</f>
        <v>-58776.89</v>
      </c>
      <c r="G173" s="152">
        <f>'[1]Nota II.1.6'!G435</f>
        <v>178996.75</v>
      </c>
      <c r="H173" s="151"/>
      <c r="I173" s="151"/>
      <c r="J173" s="153"/>
    </row>
    <row r="174" spans="1:10" ht="15.75" customHeight="1" thickBot="1" x14ac:dyDescent="0.3">
      <c r="A174" s="734" t="s">
        <v>268</v>
      </c>
      <c r="B174" s="735"/>
      <c r="C174" s="154"/>
      <c r="D174" s="154"/>
      <c r="E174" s="154">
        <f>SUM(E147:E173)</f>
        <v>6615398669.8599997</v>
      </c>
      <c r="F174" s="154">
        <f>SUM(F147:F173)</f>
        <v>66041762.93</v>
      </c>
      <c r="G174" s="154">
        <f>SUM(G147:G173)</f>
        <v>6549356906.9300003</v>
      </c>
      <c r="H174" s="154">
        <f>SUM(H147:H173)</f>
        <v>-4573138.6499999985</v>
      </c>
      <c r="I174" s="154">
        <f>SUM(I147:I173)</f>
        <v>10208791720.09</v>
      </c>
    </row>
    <row r="175" spans="1:10" ht="20.25" customHeight="1" x14ac:dyDescent="0.25">
      <c r="A175" s="431"/>
      <c r="B175" s="580"/>
      <c r="C175" s="580"/>
      <c r="D175" s="580"/>
      <c r="E175" s="580"/>
      <c r="F175" s="580"/>
      <c r="G175" s="580"/>
      <c r="H175" s="580"/>
      <c r="I175" s="580"/>
    </row>
    <row r="176" spans="1:10" ht="16.5" customHeight="1" x14ac:dyDescent="0.25">
      <c r="A176" s="155"/>
      <c r="B176" s="53"/>
      <c r="C176" s="53"/>
      <c r="D176" s="53"/>
      <c r="E176" s="53"/>
      <c r="F176" s="53"/>
      <c r="G176" s="53"/>
      <c r="H176" s="53"/>
      <c r="I176" s="53"/>
    </row>
    <row r="177" spans="1:10" x14ac:dyDescent="0.25">
      <c r="A177" s="431" t="s">
        <v>269</v>
      </c>
      <c r="B177" s="580"/>
      <c r="C177" s="580"/>
      <c r="D177" s="580"/>
      <c r="E177" s="580"/>
      <c r="F177" s="580"/>
      <c r="G177" s="580"/>
      <c r="H177" s="580"/>
      <c r="I177" s="580"/>
    </row>
    <row r="178" spans="1:10" ht="8.4499999999999993" customHeight="1" thickBot="1" x14ac:dyDescent="0.3">
      <c r="A178" s="431"/>
      <c r="B178" s="580"/>
      <c r="C178" s="580"/>
      <c r="D178" s="580"/>
      <c r="E178" s="580"/>
      <c r="F178" s="580"/>
      <c r="G178" s="580"/>
      <c r="H178" s="580"/>
      <c r="I178" s="580"/>
    </row>
    <row r="179" spans="1:10" ht="87.75" customHeight="1" thickBot="1" x14ac:dyDescent="0.3">
      <c r="A179" s="694" t="s">
        <v>233</v>
      </c>
      <c r="B179" s="695"/>
      <c r="C179" s="145" t="s">
        <v>234</v>
      </c>
      <c r="D179" s="146" t="s">
        <v>235</v>
      </c>
      <c r="E179" s="145" t="s">
        <v>236</v>
      </c>
      <c r="F179" s="147" t="s">
        <v>237</v>
      </c>
      <c r="G179" s="145" t="s">
        <v>238</v>
      </c>
      <c r="H179" s="145" t="s">
        <v>270</v>
      </c>
      <c r="I179" s="148" t="s">
        <v>271</v>
      </c>
      <c r="J179" s="156"/>
    </row>
    <row r="180" spans="1:10" x14ac:dyDescent="0.25">
      <c r="A180" s="751" t="s">
        <v>6</v>
      </c>
      <c r="B180" s="752"/>
      <c r="C180" s="149"/>
      <c r="D180" s="149"/>
      <c r="E180" s="149"/>
      <c r="F180" s="149"/>
      <c r="G180" s="149"/>
      <c r="H180" s="149"/>
      <c r="I180" s="150"/>
      <c r="J180" s="156"/>
    </row>
    <row r="181" spans="1:10" x14ac:dyDescent="0.2">
      <c r="A181" s="749" t="s">
        <v>241</v>
      </c>
      <c r="B181" s="750"/>
      <c r="C181" s="151">
        <f>'[1]Nota II.1.6'!C444</f>
        <v>10406</v>
      </c>
      <c r="D181" s="152">
        <f>'[1]Nota II.1.6'!D444</f>
        <v>100</v>
      </c>
      <c r="E181" s="152">
        <f>'[1]Nota II.1.6'!E444</f>
        <v>520300</v>
      </c>
      <c r="F181" s="152">
        <f>'[1]Nota II.1.6'!F444</f>
        <v>0</v>
      </c>
      <c r="G181" s="152">
        <f>'[1]Nota II.1.6'!G444</f>
        <v>520300</v>
      </c>
      <c r="H181" s="152">
        <f>'[1]Nota II.1.6'!H444</f>
        <v>145864.10999999999</v>
      </c>
      <c r="I181" s="152">
        <f>'[1]Nota II.1.6'!I444</f>
        <v>1914483.55</v>
      </c>
      <c r="J181" s="153"/>
    </row>
    <row r="182" spans="1:10" ht="26.25" customHeight="1" x14ac:dyDescent="0.2">
      <c r="A182" s="730" t="s">
        <v>243</v>
      </c>
      <c r="B182" s="731"/>
      <c r="C182" s="157">
        <f>'[1]Nota II.1.6'!C446</f>
        <v>585616</v>
      </c>
      <c r="D182" s="152">
        <f>'[1]Nota II.1.6'!D446</f>
        <v>100</v>
      </c>
      <c r="E182" s="152">
        <f>'[1]Nota II.1.6'!E446</f>
        <v>292808000</v>
      </c>
      <c r="F182" s="152">
        <f>'[1]Nota II.1.6'!F446</f>
        <v>0</v>
      </c>
      <c r="G182" s="152">
        <f>'[1]Nota II.1.6'!G446</f>
        <v>292808000</v>
      </c>
      <c r="H182" s="152">
        <f>'[1]Nota II.1.6'!H446</f>
        <v>-41401961.18</v>
      </c>
      <c r="I182" s="152">
        <f>'[1]Nota II.1.6'!I446</f>
        <v>704028218.19000006</v>
      </c>
      <c r="J182" s="153"/>
    </row>
    <row r="183" spans="1:10" ht="15" customHeight="1" x14ac:dyDescent="0.2">
      <c r="A183" s="730" t="s">
        <v>244</v>
      </c>
      <c r="B183" s="731"/>
      <c r="C183" s="157">
        <f>'[1]Nota II.1.6'!C447</f>
        <v>361739</v>
      </c>
      <c r="D183" s="152">
        <f>'[1]Nota II.1.6'!D447</f>
        <v>100</v>
      </c>
      <c r="E183" s="152">
        <f>'[1]Nota II.1.6'!E447</f>
        <v>180869500</v>
      </c>
      <c r="F183" s="152">
        <f>'[1]Nota II.1.6'!F447</f>
        <v>0</v>
      </c>
      <c r="G183" s="152">
        <f>'[1]Nota II.1.6'!G447</f>
        <v>180869500</v>
      </c>
      <c r="H183" s="152">
        <f>'[1]Nota II.1.6'!H447</f>
        <v>6029410.3300000001</v>
      </c>
      <c r="I183" s="152">
        <f>'[1]Nota II.1.6'!I447</f>
        <v>287739351.24000001</v>
      </c>
      <c r="J183" s="153"/>
    </row>
    <row r="184" spans="1:10" ht="15" customHeight="1" x14ac:dyDescent="0.2">
      <c r="A184" s="730" t="s">
        <v>242</v>
      </c>
      <c r="B184" s="731"/>
      <c r="C184" s="157">
        <f>'[1]Nota II.1.6'!C445</f>
        <v>657835</v>
      </c>
      <c r="D184" s="152">
        <f>'[1]Nota II.1.6'!D445</f>
        <v>100</v>
      </c>
      <c r="E184" s="152">
        <f>'[1]Nota II.1.6'!E445</f>
        <v>328917500</v>
      </c>
      <c r="F184" s="152">
        <f>'[1]Nota II.1.6'!F445</f>
        <v>0</v>
      </c>
      <c r="G184" s="152">
        <f>'[1]Nota II.1.6'!G445</f>
        <v>328917500</v>
      </c>
      <c r="H184" s="152">
        <f>'[1]Nota II.1.6'!H445</f>
        <v>925257.29</v>
      </c>
      <c r="I184" s="152">
        <f>'[1]Nota II.1.6'!I445</f>
        <v>660692358.27999997</v>
      </c>
      <c r="J184" s="153"/>
    </row>
    <row r="185" spans="1:10" ht="15" customHeight="1" x14ac:dyDescent="0.2">
      <c r="A185" s="730" t="s">
        <v>245</v>
      </c>
      <c r="B185" s="731"/>
      <c r="C185" s="157">
        <f>'[1]Nota II.1.6'!C469</f>
        <v>4600</v>
      </c>
      <c r="D185" s="152">
        <f>'[1]Nota II.1.6'!D469</f>
        <v>100</v>
      </c>
      <c r="E185" s="152">
        <f>'[1]Nota II.1.6'!E469</f>
        <v>2300000</v>
      </c>
      <c r="F185" s="152">
        <f>'[1]Nota II.1.6'!F469</f>
        <v>0</v>
      </c>
      <c r="G185" s="152">
        <f>'[1]Nota II.1.6'!G469</f>
        <v>2300000</v>
      </c>
      <c r="H185" s="152">
        <f>'[1]Nota II.1.6'!H469</f>
        <v>-1544700.43</v>
      </c>
      <c r="I185" s="152">
        <f>'[1]Nota II.1.6'!I469</f>
        <v>3646619.32</v>
      </c>
      <c r="J185" s="153"/>
    </row>
    <row r="186" spans="1:10" ht="27.75" customHeight="1" x14ac:dyDescent="0.2">
      <c r="A186" s="730" t="s">
        <v>272</v>
      </c>
      <c r="B186" s="731"/>
      <c r="C186" s="157">
        <f>'[1]Nota II.1.6'!C449</f>
        <v>27345751</v>
      </c>
      <c r="D186" s="152">
        <f>'[1]Nota II.1.6'!D449</f>
        <v>100</v>
      </c>
      <c r="E186" s="152">
        <f>'[1]Nota II.1.6'!E449</f>
        <v>2734575100</v>
      </c>
      <c r="F186" s="152">
        <f>'[1]Nota II.1.6'!F449</f>
        <v>0</v>
      </c>
      <c r="G186" s="152">
        <f>'[1]Nota II.1.6'!G449</f>
        <v>2734575100</v>
      </c>
      <c r="H186" s="152">
        <f>'[1]Nota II.1.6'!H449</f>
        <v>-99679189.819999993</v>
      </c>
      <c r="I186" s="152">
        <f>'[1]Nota II.1.6'!I449</f>
        <v>4521469471.0299997</v>
      </c>
      <c r="J186" s="153"/>
    </row>
    <row r="187" spans="1:10" ht="15" customHeight="1" x14ac:dyDescent="0.2">
      <c r="A187" s="730" t="s">
        <v>247</v>
      </c>
      <c r="B187" s="731"/>
      <c r="C187" s="157">
        <f>'[1]Nota II.1.6'!C450</f>
        <v>1133516</v>
      </c>
      <c r="D187" s="152">
        <f>'[1]Nota II.1.6'!D450</f>
        <v>100</v>
      </c>
      <c r="E187" s="152">
        <f>'[1]Nota II.1.6'!E450</f>
        <v>566758000</v>
      </c>
      <c r="F187" s="152">
        <f>'[1]Nota II.1.6'!F450</f>
        <v>0</v>
      </c>
      <c r="G187" s="152">
        <f>'[1]Nota II.1.6'!G450</f>
        <v>566758000</v>
      </c>
      <c r="H187" s="152">
        <f>'[1]Nota II.1.6'!H450</f>
        <v>2737625.4</v>
      </c>
      <c r="I187" s="152">
        <f>'[1]Nota II.1.6'!I450</f>
        <v>762707269.16999996</v>
      </c>
      <c r="J187" s="153"/>
    </row>
    <row r="188" spans="1:10" ht="26.25" customHeight="1" x14ac:dyDescent="0.2">
      <c r="A188" s="730" t="s">
        <v>273</v>
      </c>
      <c r="B188" s="731"/>
      <c r="C188" s="157">
        <f>'[1]Nota II.1.6'!C451</f>
        <v>10000</v>
      </c>
      <c r="D188" s="152">
        <f>'[1]Nota II.1.6'!D451</f>
        <v>100</v>
      </c>
      <c r="E188" s="152">
        <f>'[1]Nota II.1.6'!E451</f>
        <v>5000000</v>
      </c>
      <c r="F188" s="152">
        <f>'[1]Nota II.1.6'!F451</f>
        <v>0</v>
      </c>
      <c r="G188" s="152">
        <f>'[1]Nota II.1.6'!G451</f>
        <v>5000000</v>
      </c>
      <c r="H188" s="152">
        <f>'[1]Nota II.1.6'!H451</f>
        <v>2778632.62</v>
      </c>
      <c r="I188" s="152">
        <f>'[1]Nota II.1.6'!I451</f>
        <v>25602832.940000001</v>
      </c>
      <c r="J188" s="153"/>
    </row>
    <row r="189" spans="1:10" ht="15" customHeight="1" x14ac:dyDescent="0.2">
      <c r="A189" s="730" t="s">
        <v>249</v>
      </c>
      <c r="B189" s="731"/>
      <c r="C189" s="157">
        <f>'[1]Nota II.1.6'!C452</f>
        <v>24601</v>
      </c>
      <c r="D189" s="152">
        <f>'[1]Nota II.1.6'!D452</f>
        <v>100</v>
      </c>
      <c r="E189" s="152">
        <f>'[1]Nota II.1.6'!E452</f>
        <v>1230050</v>
      </c>
      <c r="F189" s="152">
        <f>'[1]Nota II.1.6'!F452</f>
        <v>0</v>
      </c>
      <c r="G189" s="152">
        <f>'[1]Nota II.1.6'!G452</f>
        <v>1230050</v>
      </c>
      <c r="H189" s="152">
        <f>'[1]Nota II.1.6'!H452</f>
        <v>509297.94</v>
      </c>
      <c r="I189" s="152">
        <f>'[1]Nota II.1.6'!I452</f>
        <v>7712522.6900000004</v>
      </c>
      <c r="J189" s="153"/>
    </row>
    <row r="190" spans="1:10" ht="15" customHeight="1" x14ac:dyDescent="0.2">
      <c r="A190" s="730" t="s">
        <v>250</v>
      </c>
      <c r="B190" s="731"/>
      <c r="C190" s="157">
        <f>'[1]Nota II.1.6'!C453</f>
        <v>80500</v>
      </c>
      <c r="D190" s="152">
        <f>'[1]Nota II.1.6'!D453</f>
        <v>100</v>
      </c>
      <c r="E190" s="152">
        <f>'[1]Nota II.1.6'!E453</f>
        <v>80500000</v>
      </c>
      <c r="F190" s="152">
        <f>'[1]Nota II.1.6'!F453</f>
        <v>0</v>
      </c>
      <c r="G190" s="152">
        <f>'[1]Nota II.1.6'!G453</f>
        <v>80500000</v>
      </c>
      <c r="H190" s="152">
        <f>'[1]Nota II.1.6'!H453</f>
        <v>470914.08</v>
      </c>
      <c r="I190" s="152">
        <f>'[1]Nota II.1.6'!I453</f>
        <v>116730763.02</v>
      </c>
      <c r="J190" s="153"/>
    </row>
    <row r="191" spans="1:10" ht="15" customHeight="1" x14ac:dyDescent="0.2">
      <c r="A191" s="730" t="s">
        <v>251</v>
      </c>
      <c r="B191" s="731"/>
      <c r="C191" s="157">
        <f>'[1]Nota II.1.6'!C454</f>
        <v>229769</v>
      </c>
      <c r="D191" s="152">
        <f>'[1]Nota II.1.6'!D454</f>
        <v>100</v>
      </c>
      <c r="E191" s="152">
        <f>'[1]Nota II.1.6'!E454</f>
        <v>229769000</v>
      </c>
      <c r="F191" s="152">
        <f>'[1]Nota II.1.6'!F454</f>
        <v>0</v>
      </c>
      <c r="G191" s="152">
        <f>'[1]Nota II.1.6'!G454</f>
        <v>229769000</v>
      </c>
      <c r="H191" s="152">
        <f>'[1]Nota II.1.6'!H454</f>
        <v>7427687.3799999999</v>
      </c>
      <c r="I191" s="152">
        <f>'[1]Nota II.1.6'!I454</f>
        <v>304608692</v>
      </c>
      <c r="J191" s="153"/>
    </row>
    <row r="192" spans="1:10" ht="15" customHeight="1" x14ac:dyDescent="0.2">
      <c r="A192" s="730" t="s">
        <v>252</v>
      </c>
      <c r="B192" s="731"/>
      <c r="C192" s="157">
        <f>'[1]Nota II.1.6'!C455</f>
        <v>191261</v>
      </c>
      <c r="D192" s="152">
        <f>'[1]Nota II.1.6'!D455</f>
        <v>100</v>
      </c>
      <c r="E192" s="152">
        <f>'[1]Nota II.1.6'!E455</f>
        <v>191261000</v>
      </c>
      <c r="F192" s="152">
        <f>'[1]Nota II.1.6'!F455</f>
        <v>0</v>
      </c>
      <c r="G192" s="152">
        <f>'[1]Nota II.1.6'!G455</f>
        <v>191261000</v>
      </c>
      <c r="H192" s="152">
        <f>'[1]Nota II.1.6'!H455</f>
        <v>1256544.1299999999</v>
      </c>
      <c r="I192" s="152">
        <f>'[1]Nota II.1.6'!I455</f>
        <v>252677585.22</v>
      </c>
      <c r="J192" s="153"/>
    </row>
    <row r="193" spans="1:10" ht="15" customHeight="1" x14ac:dyDescent="0.2">
      <c r="A193" s="730" t="s">
        <v>253</v>
      </c>
      <c r="B193" s="731"/>
      <c r="C193" s="157">
        <f>'[1]Nota II.1.6'!C456</f>
        <v>2556550</v>
      </c>
      <c r="D193" s="152">
        <f>'[1]Nota II.1.6'!D456</f>
        <v>100</v>
      </c>
      <c r="E193" s="152">
        <f>'[1]Nota II.1.6'!E456</f>
        <v>1278275000</v>
      </c>
      <c r="F193" s="152">
        <f>'[1]Nota II.1.6'!F456</f>
        <v>0</v>
      </c>
      <c r="G193" s="152">
        <f>'[1]Nota II.1.6'!G456</f>
        <v>1278275000</v>
      </c>
      <c r="H193" s="152">
        <f>'[1]Nota II.1.6'!H456</f>
        <v>11098829.140000001</v>
      </c>
      <c r="I193" s="152">
        <f>'[1]Nota II.1.6'!I456</f>
        <v>1653805497.1400001</v>
      </c>
      <c r="J193" s="153"/>
    </row>
    <row r="194" spans="1:10" ht="15" customHeight="1" x14ac:dyDescent="0.2">
      <c r="A194" s="730" t="s">
        <v>254</v>
      </c>
      <c r="B194" s="731"/>
      <c r="C194" s="157">
        <f>'[1]Nota II.1.6'!C457</f>
        <v>6600</v>
      </c>
      <c r="D194" s="152">
        <f>'[1]Nota II.1.6'!D457</f>
        <v>100</v>
      </c>
      <c r="E194" s="152">
        <f>'[1]Nota II.1.6'!E457</f>
        <v>3300000</v>
      </c>
      <c r="F194" s="152">
        <f>'[1]Nota II.1.6'!F457</f>
        <v>0</v>
      </c>
      <c r="G194" s="152">
        <f>'[1]Nota II.1.6'!G457</f>
        <v>3300000</v>
      </c>
      <c r="H194" s="152">
        <f>'[1]Nota II.1.6'!H457</f>
        <v>211558.55</v>
      </c>
      <c r="I194" s="152">
        <f>'[1]Nota II.1.6'!I457</f>
        <v>5213208.5</v>
      </c>
      <c r="J194" s="153"/>
    </row>
    <row r="195" spans="1:10" ht="15" customHeight="1" x14ac:dyDescent="0.2">
      <c r="A195" s="730" t="s">
        <v>255</v>
      </c>
      <c r="B195" s="731"/>
      <c r="C195" s="157">
        <f>'[1]Nota II.1.6'!C458</f>
        <v>3650</v>
      </c>
      <c r="D195" s="152">
        <f>'[1]Nota II.1.6'!D458</f>
        <v>100</v>
      </c>
      <c r="E195" s="152">
        <f>'[1]Nota II.1.6'!E458</f>
        <v>3650000</v>
      </c>
      <c r="F195" s="152">
        <f>'[1]Nota II.1.6'!F458</f>
        <v>0</v>
      </c>
      <c r="G195" s="152">
        <f>'[1]Nota II.1.6'!G458</f>
        <v>3650000</v>
      </c>
      <c r="H195" s="152">
        <f>'[1]Nota II.1.6'!H458</f>
        <v>266943</v>
      </c>
      <c r="I195" s="152">
        <f>'[1]Nota II.1.6'!I458</f>
        <v>21717749.379999999</v>
      </c>
      <c r="J195" s="153"/>
    </row>
    <row r="196" spans="1:10" ht="15" customHeight="1" x14ac:dyDescent="0.2">
      <c r="A196" s="747" t="s">
        <v>256</v>
      </c>
      <c r="B196" s="748"/>
      <c r="C196" s="157">
        <f>'[1]Nota II.1.6'!C459</f>
        <v>24520</v>
      </c>
      <c r="D196" s="152">
        <f>'[1]Nota II.1.6'!D459</f>
        <v>100</v>
      </c>
      <c r="E196" s="152">
        <f>'[1]Nota II.1.6'!E459</f>
        <v>24520000</v>
      </c>
      <c r="F196" s="152">
        <f>'[1]Nota II.1.6'!F459</f>
        <v>0</v>
      </c>
      <c r="G196" s="152">
        <f>'[1]Nota II.1.6'!G459</f>
        <v>24520000</v>
      </c>
      <c r="H196" s="152">
        <f>'[1]Nota II.1.6'!H459</f>
        <v>-3585186.34</v>
      </c>
      <c r="I196" s="152">
        <f>'[1]Nota II.1.6'!I459</f>
        <v>42196339.560000002</v>
      </c>
      <c r="J196" s="153"/>
    </row>
    <row r="197" spans="1:10" ht="15" customHeight="1" x14ac:dyDescent="0.2">
      <c r="A197" s="730" t="s">
        <v>257</v>
      </c>
      <c r="B197" s="731"/>
      <c r="C197" s="157">
        <f>'[1]Nota II.1.6'!C460</f>
        <v>63465</v>
      </c>
      <c r="D197" s="152">
        <f>'[1]Nota II.1.6'!D460</f>
        <v>100</v>
      </c>
      <c r="E197" s="152">
        <f>'[1]Nota II.1.6'!E460</f>
        <v>63465000</v>
      </c>
      <c r="F197" s="152">
        <f>'[1]Nota II.1.6'!F460</f>
        <v>0</v>
      </c>
      <c r="G197" s="152">
        <f>'[1]Nota II.1.6'!G460</f>
        <v>63465000</v>
      </c>
      <c r="H197" s="152">
        <f>'[1]Nota II.1.6'!H460</f>
        <v>1430922.29</v>
      </c>
      <c r="I197" s="152">
        <f>'[1]Nota II.1.6'!I460</f>
        <v>65769251.950000003</v>
      </c>
      <c r="J197" s="153"/>
    </row>
    <row r="198" spans="1:10" ht="15" customHeight="1" x14ac:dyDescent="0.2">
      <c r="A198" s="730" t="s">
        <v>258</v>
      </c>
      <c r="B198" s="731"/>
      <c r="C198" s="157">
        <f>'[1]Nota II.1.6'!C470</f>
        <v>19375</v>
      </c>
      <c r="D198" s="152">
        <f>'[1]Nota II.1.6'!D470</f>
        <v>100</v>
      </c>
      <c r="E198" s="152">
        <f>'[1]Nota II.1.6'!E470</f>
        <v>19375000</v>
      </c>
      <c r="F198" s="152">
        <f>'[1]Nota II.1.6'!F470</f>
        <v>13214418.199999999</v>
      </c>
      <c r="G198" s="152">
        <f>'[1]Nota II.1.6'!G470</f>
        <v>6160581.7999999998</v>
      </c>
      <c r="H198" s="152">
        <f>'[1]Nota II.1.6'!H470</f>
        <v>-14992389.09</v>
      </c>
      <c r="I198" s="152">
        <f>'[1]Nota II.1.6'!I470</f>
        <v>6160581.7999999998</v>
      </c>
      <c r="J198" s="153"/>
    </row>
    <row r="199" spans="1:10" ht="15" customHeight="1" x14ac:dyDescent="0.2">
      <c r="A199" s="730" t="s">
        <v>259</v>
      </c>
      <c r="B199" s="731"/>
      <c r="C199" s="157">
        <f>'[1]Nota II.1.6'!C461</f>
        <v>22505</v>
      </c>
      <c r="D199" s="152">
        <f>'[1]Nota II.1.6'!D461</f>
        <v>100</v>
      </c>
      <c r="E199" s="152">
        <f>'[1]Nota II.1.6'!E461</f>
        <v>22505000</v>
      </c>
      <c r="F199" s="152">
        <f>'[1]Nota II.1.6'!F461</f>
        <v>0</v>
      </c>
      <c r="G199" s="152">
        <f>'[1]Nota II.1.6'!G461</f>
        <v>22505000</v>
      </c>
      <c r="H199" s="152">
        <f>'[1]Nota II.1.6'!H461</f>
        <v>-10126264.16</v>
      </c>
      <c r="I199" s="152">
        <f>'[1]Nota II.1.6'!I461</f>
        <v>24757706.969999999</v>
      </c>
      <c r="J199" s="153"/>
    </row>
    <row r="200" spans="1:10" x14ac:dyDescent="0.2">
      <c r="A200" s="745" t="s">
        <v>274</v>
      </c>
      <c r="B200" s="746"/>
      <c r="C200" s="157">
        <f>'[1]Nota II.1.6'!C462</f>
        <v>3100</v>
      </c>
      <c r="D200" s="152">
        <f>'[1]Nota II.1.6'!D462</f>
        <v>100</v>
      </c>
      <c r="E200" s="152">
        <f>'[1]Nota II.1.6'!E462</f>
        <v>3100000</v>
      </c>
      <c r="F200" s="152">
        <f>'[1]Nota II.1.6'!F462</f>
        <v>0</v>
      </c>
      <c r="G200" s="152">
        <f>'[1]Nota II.1.6'!G462</f>
        <v>3100000</v>
      </c>
      <c r="H200" s="152">
        <f>'[1]Nota II.1.6'!H462</f>
        <v>3367234.77</v>
      </c>
      <c r="I200" s="152">
        <f>'[1]Nota II.1.6'!I462</f>
        <v>17848776.059999999</v>
      </c>
      <c r="J200" s="153"/>
    </row>
    <row r="201" spans="1:10" ht="15" customHeight="1" x14ac:dyDescent="0.2">
      <c r="A201" s="747" t="s">
        <v>262</v>
      </c>
      <c r="B201" s="748"/>
      <c r="C201" s="157">
        <f>'[1]Nota II.1.6'!C463</f>
        <v>21801</v>
      </c>
      <c r="D201" s="152">
        <f>'[1]Nota II.1.6'!D463</f>
        <v>100</v>
      </c>
      <c r="E201" s="152">
        <f>'[1]Nota II.1.6'!E463</f>
        <v>21801000</v>
      </c>
      <c r="F201" s="152">
        <f>'[1]Nota II.1.6'!F463</f>
        <v>85091.02</v>
      </c>
      <c r="G201" s="152">
        <f>'[1]Nota II.1.6'!G463</f>
        <v>21715908.98</v>
      </c>
      <c r="H201" s="152">
        <f>'[1]Nota II.1.6'!H463</f>
        <v>-21113678.890000001</v>
      </c>
      <c r="I201" s="152">
        <f>'[1]Nota II.1.6'!I463</f>
        <v>21715908.98</v>
      </c>
      <c r="J201" s="153"/>
    </row>
    <row r="202" spans="1:10" ht="15" customHeight="1" x14ac:dyDescent="0.2">
      <c r="A202" s="730" t="s">
        <v>260</v>
      </c>
      <c r="B202" s="731"/>
      <c r="C202" s="157">
        <f>'[1]Nota II.1.6'!C464</f>
        <v>33422</v>
      </c>
      <c r="D202" s="152">
        <f>'[1]Nota II.1.6'!D464</f>
        <v>100</v>
      </c>
      <c r="E202" s="152">
        <f>'[1]Nota II.1.6'!E464</f>
        <v>33422000</v>
      </c>
      <c r="F202" s="152">
        <f>'[1]Nota II.1.6'!F464</f>
        <v>33053845.52</v>
      </c>
      <c r="G202" s="152">
        <f>'[1]Nota II.1.6'!G464</f>
        <v>368154.48</v>
      </c>
      <c r="H202" s="152">
        <f>'[1]Nota II.1.6'!H464</f>
        <v>-43005287.789999999</v>
      </c>
      <c r="I202" s="152">
        <f>'[1]Nota II.1.6'!I464</f>
        <v>368154.48</v>
      </c>
      <c r="J202" s="153"/>
    </row>
    <row r="203" spans="1:10" ht="15" customHeight="1" x14ac:dyDescent="0.2">
      <c r="A203" s="730" t="s">
        <v>275</v>
      </c>
      <c r="B203" s="731"/>
      <c r="C203" s="157">
        <f>'[1]Nota II.1.6'!C465</f>
        <v>20111</v>
      </c>
      <c r="D203" s="152">
        <f>'[1]Nota II.1.6'!D465</f>
        <v>100</v>
      </c>
      <c r="E203" s="152">
        <f>'[1]Nota II.1.6'!E465</f>
        <v>20111000</v>
      </c>
      <c r="F203" s="152">
        <f>'[1]Nota II.1.6'!F465</f>
        <v>984868.06</v>
      </c>
      <c r="G203" s="152">
        <f>'[1]Nota II.1.6'!G465</f>
        <v>19126131.940000001</v>
      </c>
      <c r="H203" s="152">
        <f>'[1]Nota II.1.6'!H465</f>
        <v>20670.02</v>
      </c>
      <c r="I203" s="152">
        <f>'[1]Nota II.1.6'!I465</f>
        <v>19126131.940000001</v>
      </c>
      <c r="J203" s="153"/>
    </row>
    <row r="204" spans="1:10" ht="15" customHeight="1" x14ac:dyDescent="0.2">
      <c r="A204" s="730" t="s">
        <v>263</v>
      </c>
      <c r="B204" s="731"/>
      <c r="C204" s="157">
        <f>'[1]Nota II.1.6'!C466</f>
        <v>100</v>
      </c>
      <c r="D204" s="152">
        <f>'[1]Nota II.1.6'!D466</f>
        <v>100</v>
      </c>
      <c r="E204" s="152">
        <f>'[1]Nota II.1.6'!E466</f>
        <v>50000</v>
      </c>
      <c r="F204" s="152">
        <f>'[1]Nota II.1.6'!F466</f>
        <v>50000</v>
      </c>
      <c r="G204" s="152">
        <f>'[1]Nota II.1.6'!G466</f>
        <v>0</v>
      </c>
      <c r="H204" s="152"/>
      <c r="I204" s="152"/>
      <c r="J204" s="153"/>
    </row>
    <row r="205" spans="1:10" ht="15" customHeight="1" x14ac:dyDescent="0.2">
      <c r="A205" s="730" t="s">
        <v>265</v>
      </c>
      <c r="B205" s="731"/>
      <c r="C205" s="157">
        <f>'[1]Nota II.1.6'!C467</f>
        <v>16000</v>
      </c>
      <c r="D205" s="152">
        <f>'[1]Nota II.1.6'!D467</f>
        <v>40.22</v>
      </c>
      <c r="E205" s="152">
        <f>'[1]Nota II.1.6'!E467</f>
        <v>16000000</v>
      </c>
      <c r="F205" s="152">
        <f>'[1]Nota II.1.6'!F467</f>
        <v>7930122.0700000003</v>
      </c>
      <c r="G205" s="152">
        <f>'[1]Nota II.1.6'!G467</f>
        <v>8069877.9299999997</v>
      </c>
      <c r="H205" s="152">
        <f>'[1]Nota II.1.6'!H467</f>
        <v>-356234.76</v>
      </c>
      <c r="I205" s="152">
        <f>'[1]Nota II.1.6'!I467</f>
        <v>20065247.109999999</v>
      </c>
      <c r="J205" s="153"/>
    </row>
    <row r="206" spans="1:10" ht="15" customHeight="1" thickBot="1" x14ac:dyDescent="0.25">
      <c r="A206" s="732" t="s">
        <v>267</v>
      </c>
      <c r="B206" s="733"/>
      <c r="C206" s="157">
        <f>'[1]Nota II.1.6'!C468</f>
        <v>2795</v>
      </c>
      <c r="D206" s="152"/>
      <c r="E206" s="152">
        <f>'[1]Nota II.1.6'!E468</f>
        <v>120241.86</v>
      </c>
      <c r="F206" s="152">
        <f>'[1]Nota II.1.6'!F468</f>
        <v>-84682.79</v>
      </c>
      <c r="G206" s="152">
        <f>'[1]Nota II.1.6'!G468</f>
        <v>204924.65</v>
      </c>
      <c r="H206" s="152"/>
      <c r="I206" s="152"/>
      <c r="J206" s="153"/>
    </row>
    <row r="207" spans="1:10" ht="13.5" thickBot="1" x14ac:dyDescent="0.3">
      <c r="A207" s="734" t="s">
        <v>268</v>
      </c>
      <c r="B207" s="735"/>
      <c r="C207" s="154"/>
      <c r="D207" s="158"/>
      <c r="E207" s="154">
        <f>SUM(E181:E206)</f>
        <v>6124202691.8599997</v>
      </c>
      <c r="F207" s="154">
        <f>SUM(F181:F206)</f>
        <v>55233662.079999998</v>
      </c>
      <c r="G207" s="154">
        <f>SUM(G181:G206)</f>
        <v>6068969029.7799988</v>
      </c>
      <c r="H207" s="154">
        <f>SUM(H181:H206)</f>
        <v>-197127501.40999997</v>
      </c>
      <c r="I207" s="154">
        <f>SUM(I181:I206)</f>
        <v>9548274720.5199966</v>
      </c>
    </row>
    <row r="212" spans="1:9" x14ac:dyDescent="0.25">
      <c r="A212" s="736" t="s">
        <v>276</v>
      </c>
      <c r="B212" s="637"/>
      <c r="C212" s="637"/>
      <c r="D212" s="637"/>
      <c r="E212" s="637"/>
      <c r="F212" s="637"/>
      <c r="G212" s="637"/>
      <c r="H212" s="637"/>
      <c r="I212" s="637"/>
    </row>
    <row r="213" spans="1:9" ht="13.5" thickBot="1" x14ac:dyDescent="0.3">
      <c r="A213" s="159"/>
      <c r="B213" s="159"/>
      <c r="C213" s="159"/>
      <c r="D213" s="159"/>
      <c r="E213" s="159"/>
      <c r="F213" s="159"/>
      <c r="G213" s="159"/>
      <c r="H213" s="159"/>
      <c r="I213" s="159"/>
    </row>
    <row r="214" spans="1:9" ht="13.5" thickBot="1" x14ac:dyDescent="0.3">
      <c r="A214" s="737" t="s">
        <v>277</v>
      </c>
      <c r="B214" s="738"/>
      <c r="C214" s="738"/>
      <c r="D214" s="739"/>
      <c r="E214" s="629" t="s">
        <v>6</v>
      </c>
      <c r="F214" s="453" t="s">
        <v>278</v>
      </c>
      <c r="G214" s="454"/>
      <c r="H214" s="455"/>
      <c r="I214" s="743" t="s">
        <v>7</v>
      </c>
    </row>
    <row r="215" spans="1:9" ht="13.5" thickBot="1" x14ac:dyDescent="0.3">
      <c r="A215" s="740"/>
      <c r="B215" s="741"/>
      <c r="C215" s="741"/>
      <c r="D215" s="742"/>
      <c r="E215" s="630"/>
      <c r="F215" s="160" t="s">
        <v>183</v>
      </c>
      <c r="G215" s="161" t="s">
        <v>279</v>
      </c>
      <c r="H215" s="162" t="s">
        <v>280</v>
      </c>
      <c r="I215" s="744"/>
    </row>
    <row r="216" spans="1:9" x14ac:dyDescent="0.25">
      <c r="A216" s="163">
        <v>1</v>
      </c>
      <c r="B216" s="657" t="s">
        <v>213</v>
      </c>
      <c r="C216" s="720"/>
      <c r="D216" s="658"/>
      <c r="E216" s="164">
        <f>'[1]Nota II.1.7.'!C74</f>
        <v>0</v>
      </c>
      <c r="F216" s="164">
        <f>'[1]Nota II.1.7.'!D74</f>
        <v>0</v>
      </c>
      <c r="G216" s="164">
        <f>'[1]Nota II.1.7.'!E74</f>
        <v>0</v>
      </c>
      <c r="H216" s="164">
        <f>'[1]Nota II.1.7.'!F74</f>
        <v>0</v>
      </c>
      <c r="I216" s="165">
        <f>E216+F216-G216-H216</f>
        <v>0</v>
      </c>
    </row>
    <row r="217" spans="1:9" x14ac:dyDescent="0.25">
      <c r="A217" s="166"/>
      <c r="B217" s="721" t="s">
        <v>281</v>
      </c>
      <c r="C217" s="722"/>
      <c r="D217" s="723"/>
      <c r="E217" s="167">
        <f>'[1]Nota II.1.7.'!C75</f>
        <v>0</v>
      </c>
      <c r="F217" s="167">
        <f>'[1]Nota II.1.7.'!D75</f>
        <v>0</v>
      </c>
      <c r="G217" s="167">
        <f>'[1]Nota II.1.7.'!E75</f>
        <v>0</v>
      </c>
      <c r="H217" s="167">
        <f>'[1]Nota II.1.7.'!F75</f>
        <v>0</v>
      </c>
      <c r="I217" s="165">
        <f>E217+F217-G217-H217</f>
        <v>0</v>
      </c>
    </row>
    <row r="218" spans="1:9" x14ac:dyDescent="0.25">
      <c r="A218" s="168" t="s">
        <v>282</v>
      </c>
      <c r="B218" s="724" t="s">
        <v>283</v>
      </c>
      <c r="C218" s="725"/>
      <c r="D218" s="726"/>
      <c r="E218" s="167">
        <f>'[1]Nota II.1.7.'!C76</f>
        <v>1801887982.97</v>
      </c>
      <c r="F218" s="167">
        <f>'[1]Nota II.1.7.'!D76</f>
        <v>1915489860</v>
      </c>
      <c r="G218" s="167">
        <f>'[1]Nota II.1.7.'!E76</f>
        <v>24953752.489999998</v>
      </c>
      <c r="H218" s="167">
        <f>'[1]Nota II.1.7.'!F76</f>
        <v>977461028.5</v>
      </c>
      <c r="I218" s="165">
        <f>E218+F218-G218-H218</f>
        <v>2714963061.9800005</v>
      </c>
    </row>
    <row r="219" spans="1:9" x14ac:dyDescent="0.25">
      <c r="A219" s="168"/>
      <c r="B219" s="721" t="s">
        <v>281</v>
      </c>
      <c r="C219" s="722"/>
      <c r="D219" s="723"/>
      <c r="E219" s="167">
        <f>'[1]Nota II.1.7.'!C77</f>
        <v>0</v>
      </c>
      <c r="F219" s="167">
        <f>'[1]Nota II.1.7.'!D77</f>
        <v>0</v>
      </c>
      <c r="G219" s="167">
        <f>'[1]Nota II.1.7.'!E77</f>
        <v>0</v>
      </c>
      <c r="H219" s="167">
        <f>'[1]Nota II.1.7.'!F77</f>
        <v>0</v>
      </c>
      <c r="I219" s="165">
        <f>E219+F219-G219-H219</f>
        <v>0</v>
      </c>
    </row>
    <row r="220" spans="1:9" ht="13.5" thickBot="1" x14ac:dyDescent="0.3">
      <c r="A220" s="169" t="s">
        <v>284</v>
      </c>
      <c r="B220" s="724" t="s">
        <v>285</v>
      </c>
      <c r="C220" s="725"/>
      <c r="D220" s="726"/>
      <c r="E220" s="170">
        <f>'[1]Nota II.1.7.'!C78</f>
        <v>525780081.95999998</v>
      </c>
      <c r="F220" s="170">
        <f>'[1]Nota II.1.7.'!D78</f>
        <v>489877149.56</v>
      </c>
      <c r="G220" s="170">
        <f>'[1]Nota II.1.7.'!E78</f>
        <v>2448260.9500000002</v>
      </c>
      <c r="H220" s="170">
        <f>'[1]Nota II.1.7.'!F78</f>
        <v>455810070.05000001</v>
      </c>
      <c r="I220" s="171">
        <f>E220+F220-G220-H220</f>
        <v>557398900.51999998</v>
      </c>
    </row>
    <row r="221" spans="1:9" ht="13.5" thickBot="1" x14ac:dyDescent="0.3">
      <c r="A221" s="727" t="s">
        <v>268</v>
      </c>
      <c r="B221" s="728"/>
      <c r="C221" s="728"/>
      <c r="D221" s="729"/>
      <c r="E221" s="172">
        <f>E216+E218+E220</f>
        <v>2327668064.9299998</v>
      </c>
      <c r="F221" s="173">
        <f>F216+F218+F220</f>
        <v>2405367009.5599999</v>
      </c>
      <c r="G221" s="173">
        <f>G216+G218+G220</f>
        <v>27402013.439999998</v>
      </c>
      <c r="H221" s="172">
        <f>H216+H218+H220</f>
        <v>1433271098.55</v>
      </c>
      <c r="I221" s="174">
        <f>I216+I218+I220</f>
        <v>3272361962.5000005</v>
      </c>
    </row>
    <row r="222" spans="1:9" x14ac:dyDescent="0.2">
      <c r="A222" s="71"/>
      <c r="B222" s="71"/>
      <c r="C222" s="71"/>
      <c r="D222" s="71"/>
      <c r="E222" s="71"/>
      <c r="F222" s="71"/>
      <c r="G222" s="71"/>
      <c r="H222" s="71"/>
      <c r="I222" s="71"/>
    </row>
    <row r="223" spans="1:9" x14ac:dyDescent="0.2">
      <c r="A223" s="71"/>
      <c r="B223" s="71"/>
      <c r="C223" s="71"/>
      <c r="D223" s="71"/>
      <c r="E223" s="71"/>
      <c r="F223" s="71"/>
      <c r="G223" s="71"/>
      <c r="H223" s="71"/>
      <c r="I223" s="71"/>
    </row>
    <row r="224" spans="1:9" x14ac:dyDescent="0.2">
      <c r="A224" s="71"/>
      <c r="B224" s="71"/>
      <c r="C224" s="71"/>
      <c r="D224" s="71"/>
      <c r="E224" s="71"/>
      <c r="F224" s="71"/>
      <c r="G224" s="71"/>
      <c r="H224" s="71"/>
      <c r="I224" s="71"/>
    </row>
    <row r="225" spans="1:8" x14ac:dyDescent="0.25">
      <c r="A225" s="471" t="s">
        <v>286</v>
      </c>
      <c r="B225" s="471"/>
      <c r="C225" s="471"/>
      <c r="D225" s="471"/>
      <c r="E225" s="471"/>
      <c r="F225" s="471"/>
      <c r="G225" s="471"/>
    </row>
    <row r="226" spans="1:8" ht="13.5" thickBot="1" x14ac:dyDescent="0.3">
      <c r="A226" s="175"/>
      <c r="B226" s="176"/>
      <c r="C226" s="177"/>
      <c r="D226" s="177"/>
      <c r="E226" s="177"/>
      <c r="F226" s="177"/>
      <c r="G226" s="177"/>
    </row>
    <row r="227" spans="1:8" ht="26.25" thickBot="1" x14ac:dyDescent="0.3">
      <c r="A227" s="631" t="s">
        <v>287</v>
      </c>
      <c r="B227" s="632"/>
      <c r="C227" s="719"/>
      <c r="D227" s="178" t="s">
        <v>288</v>
      </c>
      <c r="E227" s="179" t="s">
        <v>289</v>
      </c>
      <c r="F227" s="180" t="s">
        <v>290</v>
      </c>
      <c r="G227" s="179" t="s">
        <v>291</v>
      </c>
      <c r="H227" s="181" t="s">
        <v>292</v>
      </c>
    </row>
    <row r="228" spans="1:8" x14ac:dyDescent="0.25">
      <c r="A228" s="509" t="s">
        <v>293</v>
      </c>
      <c r="B228" s="510"/>
      <c r="C228" s="510"/>
      <c r="D228" s="182">
        <f>'[1]Nota II.1.8'!C146</f>
        <v>0</v>
      </c>
      <c r="E228" s="182">
        <f>'[1]Nota II.1.8'!D146</f>
        <v>0</v>
      </c>
      <c r="F228" s="182">
        <f>'[1]Nota II.1.8'!E146</f>
        <v>0</v>
      </c>
      <c r="G228" s="182">
        <f>'[1]Nota II.1.8'!F146</f>
        <v>0</v>
      </c>
      <c r="H228" s="183">
        <f>D228+E228-F228-G228</f>
        <v>0</v>
      </c>
    </row>
    <row r="229" spans="1:8" x14ac:dyDescent="0.25">
      <c r="A229" s="715" t="s">
        <v>294</v>
      </c>
      <c r="B229" s="716"/>
      <c r="C229" s="716"/>
      <c r="D229" s="184">
        <f>'[1]Nota II.1.8'!C147</f>
        <v>0</v>
      </c>
      <c r="E229" s="184">
        <f>'[1]Nota II.1.8'!D147</f>
        <v>0</v>
      </c>
      <c r="F229" s="184">
        <f>'[1]Nota II.1.8'!E147</f>
        <v>0</v>
      </c>
      <c r="G229" s="184">
        <f>'[1]Nota II.1.8'!F147</f>
        <v>0</v>
      </c>
      <c r="H229" s="185">
        <f t="shared" ref="H229:H237" si="15">D229+E229-F229-G229</f>
        <v>0</v>
      </c>
    </row>
    <row r="230" spans="1:8" ht="15" customHeight="1" x14ac:dyDescent="0.25">
      <c r="A230" s="715" t="s">
        <v>295</v>
      </c>
      <c r="B230" s="716"/>
      <c r="C230" s="716"/>
      <c r="D230" s="184">
        <f>'[1]Nota II.1.8'!C148</f>
        <v>199188959.56</v>
      </c>
      <c r="E230" s="184">
        <f>'[1]Nota II.1.8'!D148</f>
        <v>6938532</v>
      </c>
      <c r="F230" s="184">
        <f>'[1]Nota II.1.8'!E148</f>
        <v>7859748.1799999997</v>
      </c>
      <c r="G230" s="184">
        <f>'[1]Nota II.1.8'!F148</f>
        <v>862850</v>
      </c>
      <c r="H230" s="185">
        <f t="shared" si="15"/>
        <v>197404893.38</v>
      </c>
    </row>
    <row r="231" spans="1:8" ht="15" customHeight="1" x14ac:dyDescent="0.25">
      <c r="A231" s="715" t="s">
        <v>296</v>
      </c>
      <c r="B231" s="716"/>
      <c r="C231" s="716"/>
      <c r="D231" s="184">
        <f>'[1]Nota II.1.8'!C149</f>
        <v>1597057</v>
      </c>
      <c r="E231" s="184">
        <f>'[1]Nota II.1.8'!D149</f>
        <v>67500</v>
      </c>
      <c r="F231" s="184">
        <f>'[1]Nota II.1.8'!E149</f>
        <v>0</v>
      </c>
      <c r="G231" s="184">
        <f>'[1]Nota II.1.8'!F149</f>
        <v>0</v>
      </c>
      <c r="H231" s="185">
        <f t="shared" si="15"/>
        <v>1664557</v>
      </c>
    </row>
    <row r="232" spans="1:8" ht="33" customHeight="1" x14ac:dyDescent="0.25">
      <c r="A232" s="715" t="s">
        <v>297</v>
      </c>
      <c r="B232" s="716"/>
      <c r="C232" s="716"/>
      <c r="D232" s="184">
        <f>'[1]Nota II.1.8'!C150</f>
        <v>44218797.079999998</v>
      </c>
      <c r="E232" s="184">
        <f>'[1]Nota II.1.8'!D150</f>
        <v>10731568.949999999</v>
      </c>
      <c r="F232" s="184">
        <f>'[1]Nota II.1.8'!E150</f>
        <v>0</v>
      </c>
      <c r="G232" s="184">
        <f>'[1]Nota II.1.8'!F150</f>
        <v>254000</v>
      </c>
      <c r="H232" s="185">
        <f t="shared" si="15"/>
        <v>54696366.030000001</v>
      </c>
    </row>
    <row r="233" spans="1:8" ht="32.450000000000003" customHeight="1" x14ac:dyDescent="0.25">
      <c r="A233" s="717" t="s">
        <v>298</v>
      </c>
      <c r="B233" s="718"/>
      <c r="C233" s="718"/>
      <c r="D233" s="184">
        <f>'[1]Nota II.1.8'!C151</f>
        <v>494636478.38999999</v>
      </c>
      <c r="E233" s="184">
        <f>'[1]Nota II.1.8'!D151</f>
        <v>141303838.28999999</v>
      </c>
      <c r="F233" s="184">
        <f>'[1]Nota II.1.8'!E151</f>
        <v>127740.81</v>
      </c>
      <c r="G233" s="184">
        <f>'[1]Nota II.1.8'!F151</f>
        <v>16352374.99</v>
      </c>
      <c r="H233" s="185">
        <f t="shared" si="15"/>
        <v>619460200.88</v>
      </c>
    </row>
    <row r="234" spans="1:8" ht="15" customHeight="1" x14ac:dyDescent="0.25">
      <c r="A234" s="717" t="s">
        <v>299</v>
      </c>
      <c r="B234" s="718"/>
      <c r="C234" s="718"/>
      <c r="D234" s="184">
        <f>'[1]Nota II.1.8'!C152</f>
        <v>19216176.140000001</v>
      </c>
      <c r="E234" s="184">
        <f>'[1]Nota II.1.8'!D152</f>
        <v>2435216.38</v>
      </c>
      <c r="F234" s="184">
        <f>'[1]Nota II.1.8'!E152</f>
        <v>2036284.7</v>
      </c>
      <c r="G234" s="184">
        <f>'[1]Nota II.1.8'!F152</f>
        <v>499654.51</v>
      </c>
      <c r="H234" s="185">
        <f t="shared" si="15"/>
        <v>19115453.309999999</v>
      </c>
    </row>
    <row r="235" spans="1:8" x14ac:dyDescent="0.25">
      <c r="A235" s="717" t="s">
        <v>300</v>
      </c>
      <c r="B235" s="718"/>
      <c r="C235" s="718"/>
      <c r="D235" s="184">
        <f>'[1]Nota II.1.8'!C153</f>
        <v>899061</v>
      </c>
      <c r="E235" s="184">
        <f>'[1]Nota II.1.8'!D153</f>
        <v>5911600</v>
      </c>
      <c r="F235" s="184">
        <f>'[1]Nota II.1.8'!E153</f>
        <v>202155</v>
      </c>
      <c r="G235" s="184">
        <f>'[1]Nota II.1.8'!F153</f>
        <v>0</v>
      </c>
      <c r="H235" s="185">
        <f t="shared" si="15"/>
        <v>6608506</v>
      </c>
    </row>
    <row r="236" spans="1:8" x14ac:dyDescent="0.25">
      <c r="A236" s="717" t="s">
        <v>301</v>
      </c>
      <c r="B236" s="718"/>
      <c r="C236" s="718"/>
      <c r="D236" s="184">
        <f>'[1]Nota II.1.8'!C154</f>
        <v>157083380.93000001</v>
      </c>
      <c r="E236" s="184">
        <f>'[1]Nota II.1.8'!D154</f>
        <v>21687997.890000001</v>
      </c>
      <c r="F236" s="184">
        <f>'[1]Nota II.1.8'!E154</f>
        <v>15105</v>
      </c>
      <c r="G236" s="184">
        <f>'[1]Nota II.1.8'!F154</f>
        <v>3820780.02</v>
      </c>
      <c r="H236" s="185">
        <f t="shared" si="15"/>
        <v>174935493.79999998</v>
      </c>
    </row>
    <row r="237" spans="1:8" ht="15" customHeight="1" thickBot="1" x14ac:dyDescent="0.3">
      <c r="A237" s="717" t="s">
        <v>302</v>
      </c>
      <c r="B237" s="718"/>
      <c r="C237" s="718"/>
      <c r="D237" s="186">
        <f>'[1]Nota II.1.8'!C155</f>
        <v>916543091.61000001</v>
      </c>
      <c r="E237" s="186">
        <f>'[1]Nota II.1.8'!D155</f>
        <v>249936177.18000001</v>
      </c>
      <c r="F237" s="186">
        <f>'[1]Nota II.1.8'!E155</f>
        <v>943285.64</v>
      </c>
      <c r="G237" s="186">
        <f>'[1]Nota II.1.8'!F155</f>
        <v>164074689.53</v>
      </c>
      <c r="H237" s="187">
        <f t="shared" si="15"/>
        <v>1001461293.6199999</v>
      </c>
    </row>
    <row r="238" spans="1:8" ht="15.75" customHeight="1" thickBot="1" x14ac:dyDescent="0.3">
      <c r="A238" s="661" t="s">
        <v>268</v>
      </c>
      <c r="B238" s="713"/>
      <c r="C238" s="714"/>
      <c r="D238" s="188">
        <f>SUM(D228:D237)</f>
        <v>1833383001.71</v>
      </c>
      <c r="E238" s="188">
        <f>SUM(E228:E237)</f>
        <v>439012430.69</v>
      </c>
      <c r="F238" s="188">
        <f>SUM(F228:F237)</f>
        <v>11184319.33</v>
      </c>
      <c r="G238" s="188">
        <f>SUM(G228:G237)</f>
        <v>185864349.05000001</v>
      </c>
      <c r="H238" s="189">
        <f>SUM(H228:H237)</f>
        <v>2075346764.0199997</v>
      </c>
    </row>
    <row r="239" spans="1:8" x14ac:dyDescent="0.2">
      <c r="A239" s="71"/>
      <c r="B239" s="71"/>
      <c r="C239" s="71"/>
      <c r="D239" s="71"/>
      <c r="E239" s="71"/>
      <c r="F239" s="71"/>
      <c r="G239" s="71"/>
    </row>
    <row r="240" spans="1:8" x14ac:dyDescent="0.25">
      <c r="A240" s="190"/>
      <c r="B240" s="190"/>
      <c r="C240" s="190"/>
      <c r="D240" s="190"/>
      <c r="E240" s="190"/>
      <c r="F240" s="190"/>
      <c r="G240" s="190"/>
    </row>
    <row r="241" spans="1:7" x14ac:dyDescent="0.25">
      <c r="A241" s="190"/>
      <c r="B241" s="190"/>
      <c r="C241" s="190"/>
      <c r="D241" s="190"/>
      <c r="E241" s="190"/>
      <c r="F241" s="190"/>
      <c r="G241" s="190"/>
    </row>
    <row r="242" spans="1:7" x14ac:dyDescent="0.25">
      <c r="A242" s="431" t="s">
        <v>303</v>
      </c>
      <c r="B242" s="431"/>
      <c r="C242" s="431"/>
    </row>
    <row r="243" spans="1:7" ht="13.5" thickBot="1" x14ac:dyDescent="0.25">
      <c r="A243" s="71"/>
      <c r="B243" s="71"/>
      <c r="C243" s="71"/>
    </row>
    <row r="244" spans="1:7" ht="13.5" thickBot="1" x14ac:dyDescent="0.3">
      <c r="A244" s="661" t="s">
        <v>190</v>
      </c>
      <c r="B244" s="711"/>
      <c r="C244" s="191" t="s">
        <v>6</v>
      </c>
      <c r="D244" s="192" t="s">
        <v>7</v>
      </c>
    </row>
    <row r="245" spans="1:7" ht="13.5" thickBot="1" x14ac:dyDescent="0.3">
      <c r="A245" s="661" t="s">
        <v>304</v>
      </c>
      <c r="B245" s="711"/>
      <c r="C245" s="193">
        <f>SUM(C246:C248)</f>
        <v>0</v>
      </c>
      <c r="D245" s="193">
        <f>SUM(D246:D248)</f>
        <v>0</v>
      </c>
    </row>
    <row r="246" spans="1:7" x14ac:dyDescent="0.25">
      <c r="A246" s="705" t="s">
        <v>305</v>
      </c>
      <c r="B246" s="706"/>
      <c r="C246" s="194">
        <f>'[1]Nota II.1.9'!B45</f>
        <v>0</v>
      </c>
      <c r="D246" s="194">
        <f>'[1]Nota II.1.9'!C45</f>
        <v>0</v>
      </c>
    </row>
    <row r="247" spans="1:7" x14ac:dyDescent="0.25">
      <c r="A247" s="707" t="s">
        <v>306</v>
      </c>
      <c r="B247" s="708"/>
      <c r="C247" s="194">
        <f>'[1]Nota II.1.9'!B46</f>
        <v>0</v>
      </c>
      <c r="D247" s="194">
        <f>'[1]Nota II.1.9'!C46</f>
        <v>0</v>
      </c>
    </row>
    <row r="248" spans="1:7" ht="13.5" thickBot="1" x14ac:dyDescent="0.3">
      <c r="A248" s="709" t="s">
        <v>307</v>
      </c>
      <c r="B248" s="710"/>
      <c r="C248" s="194">
        <f>'[1]Nota II.1.9'!B47</f>
        <v>0</v>
      </c>
      <c r="D248" s="194">
        <f>'[1]Nota II.1.9'!C47</f>
        <v>0</v>
      </c>
    </row>
    <row r="249" spans="1:7" ht="26.25" customHeight="1" thickBot="1" x14ac:dyDescent="0.3">
      <c r="A249" s="661" t="s">
        <v>308</v>
      </c>
      <c r="B249" s="711"/>
      <c r="C249" s="195">
        <f>SUM(C250:C252)</f>
        <v>243222.22</v>
      </c>
      <c r="D249" s="193">
        <f>SUM(D250:D252)</f>
        <v>130320.59</v>
      </c>
    </row>
    <row r="250" spans="1:7" x14ac:dyDescent="0.25">
      <c r="A250" s="705" t="s">
        <v>305</v>
      </c>
      <c r="B250" s="706"/>
      <c r="C250" s="194">
        <f>'[1]Nota II.1.9'!B76</f>
        <v>15666.239999999991</v>
      </c>
      <c r="D250" s="194">
        <f>'[1]Nota II.1.9'!C76</f>
        <v>10036.940000000002</v>
      </c>
    </row>
    <row r="251" spans="1:7" x14ac:dyDescent="0.25">
      <c r="A251" s="707" t="s">
        <v>306</v>
      </c>
      <c r="B251" s="708"/>
      <c r="C251" s="194">
        <f>'[1]Nota II.1.9'!B77</f>
        <v>114738.13</v>
      </c>
      <c r="D251" s="194">
        <f>'[1]Nota II.1.9'!C77</f>
        <v>13904.5</v>
      </c>
    </row>
    <row r="252" spans="1:7" ht="13.5" thickBot="1" x14ac:dyDescent="0.3">
      <c r="A252" s="709" t="s">
        <v>307</v>
      </c>
      <c r="B252" s="710"/>
      <c r="C252" s="194">
        <f>'[1]Nota II.1.9'!B78</f>
        <v>112817.85</v>
      </c>
      <c r="D252" s="194">
        <f>'[1]Nota II.1.9'!C78</f>
        <v>106379.15</v>
      </c>
    </row>
    <row r="253" spans="1:7" ht="26.25" customHeight="1" thickBot="1" x14ac:dyDescent="0.3">
      <c r="A253" s="661" t="s">
        <v>309</v>
      </c>
      <c r="B253" s="711"/>
      <c r="C253" s="196">
        <f>SUM(C254:C256)</f>
        <v>312910.7</v>
      </c>
      <c r="D253" s="197">
        <f>SUM(D254:D256)</f>
        <v>281805.91000000003</v>
      </c>
    </row>
    <row r="254" spans="1:7" ht="25.5" customHeight="1" x14ac:dyDescent="0.25">
      <c r="A254" s="705" t="s">
        <v>305</v>
      </c>
      <c r="B254" s="706"/>
      <c r="C254" s="194">
        <f>'[1]Nota II.1.9'!B80</f>
        <v>55821.74</v>
      </c>
      <c r="D254" s="194">
        <f>'[1]Nota II.1.9'!C80</f>
        <v>106825.88</v>
      </c>
    </row>
    <row r="255" spans="1:7" x14ac:dyDescent="0.25">
      <c r="A255" s="707" t="s">
        <v>306</v>
      </c>
      <c r="B255" s="708"/>
      <c r="C255" s="194">
        <f>'[1]Nota II.1.9'!B81</f>
        <v>42025.58</v>
      </c>
      <c r="D255" s="194">
        <f>'[1]Nota II.1.9'!C81</f>
        <v>80319.570000000007</v>
      </c>
    </row>
    <row r="256" spans="1:7" ht="13.5" thickBot="1" x14ac:dyDescent="0.3">
      <c r="A256" s="709" t="s">
        <v>307</v>
      </c>
      <c r="B256" s="710"/>
      <c r="C256" s="194">
        <f>'[1]Nota II.1.9'!B82</f>
        <v>215063.38</v>
      </c>
      <c r="D256" s="194">
        <f>'[1]Nota II.1.9'!C82</f>
        <v>94660.46</v>
      </c>
    </row>
    <row r="257" spans="1:6" ht="13.5" thickBot="1" x14ac:dyDescent="0.3">
      <c r="A257" s="661" t="s">
        <v>268</v>
      </c>
      <c r="B257" s="711"/>
      <c r="C257" s="198">
        <f>C245+C249+C253</f>
        <v>556132.92000000004</v>
      </c>
      <c r="D257" s="198">
        <f>D245+D249+D253</f>
        <v>412126.5</v>
      </c>
    </row>
    <row r="260" spans="1:6" ht="29.25" customHeight="1" x14ac:dyDescent="0.25">
      <c r="A260" s="431" t="s">
        <v>310</v>
      </c>
      <c r="B260" s="431"/>
      <c r="C260" s="431"/>
      <c r="D260" s="580"/>
      <c r="E260" s="580"/>
      <c r="F260" s="580"/>
    </row>
    <row r="261" spans="1:6" x14ac:dyDescent="0.25">
      <c r="A261" s="144"/>
      <c r="B261" s="144"/>
      <c r="C261" s="144"/>
    </row>
    <row r="262" spans="1:6" x14ac:dyDescent="0.25">
      <c r="A262" s="50" t="s">
        <v>311</v>
      </c>
    </row>
    <row r="265" spans="1:6" x14ac:dyDescent="0.25">
      <c r="A265" s="712" t="s">
        <v>312</v>
      </c>
      <c r="B265" s="712"/>
      <c r="C265" s="712"/>
      <c r="D265" s="712"/>
      <c r="E265" s="712"/>
    </row>
    <row r="266" spans="1:6" x14ac:dyDescent="0.25">
      <c r="A266" s="108"/>
      <c r="B266" s="108"/>
      <c r="C266" s="108"/>
      <c r="D266" s="108"/>
      <c r="E266" s="108"/>
    </row>
    <row r="267" spans="1:6" x14ac:dyDescent="0.25">
      <c r="A267" s="50" t="s">
        <v>313</v>
      </c>
    </row>
    <row r="278" spans="1:9" x14ac:dyDescent="0.25">
      <c r="A278" s="431" t="s">
        <v>314</v>
      </c>
      <c r="B278" s="431"/>
      <c r="C278" s="431"/>
      <c r="D278" s="580"/>
      <c r="E278" s="580"/>
      <c r="F278" s="580"/>
      <c r="G278" s="580"/>
      <c r="H278" s="580"/>
      <c r="I278" s="580"/>
    </row>
    <row r="279" spans="1:9" ht="13.5" thickBot="1" x14ac:dyDescent="0.3">
      <c r="A279" s="199"/>
      <c r="G279" s="156"/>
    </row>
    <row r="280" spans="1:9" ht="33.75" customHeight="1" thickBot="1" x14ac:dyDescent="0.25">
      <c r="A280" s="694" t="s">
        <v>315</v>
      </c>
      <c r="B280" s="695"/>
      <c r="C280" s="147" t="s">
        <v>288</v>
      </c>
      <c r="D280" s="200" t="s">
        <v>7</v>
      </c>
      <c r="E280" s="696" t="s">
        <v>316</v>
      </c>
      <c r="F280" s="697"/>
      <c r="G280" s="698"/>
      <c r="H280" s="698"/>
      <c r="I280" s="699"/>
    </row>
    <row r="281" spans="1:9" ht="80.25" customHeight="1" x14ac:dyDescent="0.2">
      <c r="A281" s="700" t="s">
        <v>317</v>
      </c>
      <c r="B281" s="701"/>
      <c r="C281" s="201">
        <f>'[1]Nota II.1.12a'!B62</f>
        <v>9459459.4000000004</v>
      </c>
      <c r="D281" s="201">
        <f>'[1]Nota II.1.12a'!C62</f>
        <v>424906110.67000002</v>
      </c>
      <c r="E281" s="702" t="s">
        <v>318</v>
      </c>
      <c r="F281" s="703"/>
      <c r="G281" s="703"/>
      <c r="H281" s="703"/>
      <c r="I281" s="704"/>
    </row>
    <row r="282" spans="1:9" ht="14.25" customHeight="1" x14ac:dyDescent="0.2">
      <c r="A282" s="682" t="s">
        <v>319</v>
      </c>
      <c r="B282" s="683"/>
      <c r="C282" s="202">
        <f>'[1]Nota II.1.12a'!B45</f>
        <v>0</v>
      </c>
      <c r="D282" s="202">
        <f>'[1]Nota II.1.12a'!C45</f>
        <v>0</v>
      </c>
      <c r="E282" s="684"/>
      <c r="F282" s="685"/>
      <c r="G282" s="685"/>
      <c r="H282" s="685"/>
      <c r="I282" s="686"/>
    </row>
    <row r="283" spans="1:9" ht="15" customHeight="1" x14ac:dyDescent="0.2">
      <c r="A283" s="687" t="s">
        <v>320</v>
      </c>
      <c r="B283" s="688"/>
      <c r="C283" s="202">
        <f>'[1]Nota II.1.12a'!B46</f>
        <v>0</v>
      </c>
      <c r="D283" s="202">
        <f>'[1]Nota II.1.12a'!C46</f>
        <v>0</v>
      </c>
      <c r="E283" s="689"/>
      <c r="F283" s="690"/>
      <c r="G283" s="690"/>
      <c r="H283" s="690"/>
      <c r="I283" s="691"/>
    </row>
    <row r="284" spans="1:9" ht="14.25" customHeight="1" x14ac:dyDescent="0.2">
      <c r="A284" s="692" t="s">
        <v>321</v>
      </c>
      <c r="B284" s="693"/>
      <c r="C284" s="202">
        <f>'[1]Nota II.1.12a'!B47</f>
        <v>0</v>
      </c>
      <c r="D284" s="202">
        <f>'[1]Nota II.1.12a'!C47</f>
        <v>0</v>
      </c>
      <c r="E284" s="684"/>
      <c r="F284" s="685"/>
      <c r="G284" s="685"/>
      <c r="H284" s="685"/>
      <c r="I284" s="686"/>
    </row>
    <row r="285" spans="1:9" ht="14.25" customHeight="1" x14ac:dyDescent="0.2">
      <c r="A285" s="682" t="s">
        <v>322</v>
      </c>
      <c r="B285" s="683"/>
      <c r="C285" s="202">
        <f>'[1]Nota II.1.12a'!B48</f>
        <v>0</v>
      </c>
      <c r="D285" s="202">
        <f>'[1]Nota II.1.12a'!C48</f>
        <v>0</v>
      </c>
      <c r="E285" s="684"/>
      <c r="F285" s="685"/>
      <c r="G285" s="685"/>
      <c r="H285" s="685"/>
      <c r="I285" s="686"/>
    </row>
    <row r="286" spans="1:9" ht="14.25" customHeight="1" x14ac:dyDescent="0.2">
      <c r="A286" s="682" t="s">
        <v>323</v>
      </c>
      <c r="B286" s="683"/>
      <c r="C286" s="202">
        <f>'[1]Nota II.1.12a'!B49</f>
        <v>0</v>
      </c>
      <c r="D286" s="202">
        <f>'[1]Nota II.1.12a'!C49</f>
        <v>0</v>
      </c>
      <c r="E286" s="684"/>
      <c r="F286" s="685"/>
      <c r="G286" s="685"/>
      <c r="H286" s="685"/>
      <c r="I286" s="686"/>
    </row>
    <row r="287" spans="1:9" ht="14.25" customHeight="1" x14ac:dyDescent="0.2">
      <c r="A287" s="682" t="s">
        <v>324</v>
      </c>
      <c r="B287" s="683"/>
      <c r="C287" s="202">
        <f>'[1]Nota II.1.12a'!B50</f>
        <v>0</v>
      </c>
      <c r="D287" s="202">
        <f>'[1]Nota II.1.12a'!C50</f>
        <v>0</v>
      </c>
      <c r="E287" s="684"/>
      <c r="F287" s="685"/>
      <c r="G287" s="685"/>
      <c r="H287" s="685"/>
      <c r="I287" s="686"/>
    </row>
    <row r="288" spans="1:9" x14ac:dyDescent="0.2">
      <c r="A288" s="682" t="s">
        <v>325</v>
      </c>
      <c r="B288" s="683"/>
      <c r="C288" s="202">
        <f>'[1]Nota II.1.12a'!B51</f>
        <v>0</v>
      </c>
      <c r="D288" s="202">
        <f>'[1]Nota II.1.12a'!C51</f>
        <v>0</v>
      </c>
      <c r="E288" s="684"/>
      <c r="F288" s="685"/>
      <c r="G288" s="685"/>
      <c r="H288" s="685"/>
      <c r="I288" s="686"/>
    </row>
    <row r="289" spans="1:9" ht="15.75" customHeight="1" thickBot="1" x14ac:dyDescent="0.25">
      <c r="A289" s="670" t="s">
        <v>176</v>
      </c>
      <c r="B289" s="671"/>
      <c r="C289" s="203">
        <f>'[1]Nota II.1.12a'!B52</f>
        <v>0</v>
      </c>
      <c r="D289" s="203">
        <f>'[1]Nota II.1.12a'!C52</f>
        <v>0</v>
      </c>
      <c r="E289" s="672"/>
      <c r="F289" s="673"/>
      <c r="G289" s="673"/>
      <c r="H289" s="673"/>
      <c r="I289" s="674"/>
    </row>
    <row r="290" spans="1:9" ht="15.75" customHeight="1" thickBot="1" x14ac:dyDescent="0.3">
      <c r="A290" s="675" t="s">
        <v>268</v>
      </c>
      <c r="B290" s="676"/>
      <c r="C290" s="204">
        <f>C281+C282+C284+C288</f>
        <v>9459459.4000000004</v>
      </c>
      <c r="D290" s="205">
        <f>D281+D282+D284+D288</f>
        <v>424906110.67000002</v>
      </c>
      <c r="E290" s="677"/>
      <c r="F290" s="678"/>
      <c r="G290" s="678"/>
      <c r="H290" s="678"/>
      <c r="I290" s="679"/>
    </row>
    <row r="291" spans="1:9" s="208" customFormat="1" x14ac:dyDescent="0.25">
      <c r="A291" s="206"/>
      <c r="B291" s="206"/>
      <c r="C291" s="207"/>
      <c r="D291" s="207"/>
      <c r="E291" s="207"/>
    </row>
    <row r="292" spans="1:9" s="208" customFormat="1" x14ac:dyDescent="0.25">
      <c r="A292" s="206"/>
      <c r="B292" s="206"/>
      <c r="C292" s="207"/>
      <c r="D292" s="207"/>
      <c r="E292" s="207"/>
    </row>
    <row r="293" spans="1:9" x14ac:dyDescent="0.25">
      <c r="A293" s="471" t="s">
        <v>326</v>
      </c>
      <c r="B293" s="471"/>
      <c r="C293" s="471"/>
      <c r="D293" s="471"/>
    </row>
    <row r="294" spans="1:9" ht="13.5" thickBot="1" x14ac:dyDescent="0.3">
      <c r="A294" s="175"/>
      <c r="B294" s="176"/>
      <c r="C294" s="177"/>
      <c r="D294" s="177"/>
    </row>
    <row r="295" spans="1:9" ht="13.5" thickBot="1" x14ac:dyDescent="0.3">
      <c r="A295" s="680" t="s">
        <v>287</v>
      </c>
      <c r="B295" s="681"/>
      <c r="C295" s="209" t="s">
        <v>288</v>
      </c>
      <c r="D295" s="192" t="s">
        <v>292</v>
      </c>
    </row>
    <row r="296" spans="1:9" ht="32.25" hidden="1" customHeight="1" x14ac:dyDescent="0.25">
      <c r="A296" s="667" t="s">
        <v>327</v>
      </c>
      <c r="B296" s="668"/>
      <c r="C296" s="210">
        <f>'[1]Nota II.1.12b'!C47</f>
        <v>0</v>
      </c>
      <c r="D296" s="211">
        <f>'[1]Nota II.1.12b'!D47</f>
        <v>0</v>
      </c>
    </row>
    <row r="297" spans="1:9" x14ac:dyDescent="0.25">
      <c r="A297" s="669" t="s">
        <v>328</v>
      </c>
      <c r="B297" s="663"/>
      <c r="C297" s="212">
        <f>'[1]Nota II.1.12b'!C147</f>
        <v>23090</v>
      </c>
      <c r="D297" s="212">
        <f>'[1]Nota II.1.12b'!D147</f>
        <v>17990</v>
      </c>
    </row>
    <row r="298" spans="1:9" hidden="1" x14ac:dyDescent="0.25">
      <c r="A298" s="669" t="s">
        <v>329</v>
      </c>
      <c r="B298" s="663"/>
      <c r="C298" s="212">
        <f>'[1]Nota II.1.12b'!C99</f>
        <v>0</v>
      </c>
      <c r="D298" s="213">
        <f>'[1]Nota II.1.12b'!D99</f>
        <v>0</v>
      </c>
    </row>
    <row r="299" spans="1:9" ht="25.5" customHeight="1" x14ac:dyDescent="0.25">
      <c r="A299" s="669" t="s">
        <v>330</v>
      </c>
      <c r="B299" s="663"/>
      <c r="C299" s="212">
        <f>'[1]Nota II.1.12b'!C149</f>
        <v>2861001820</v>
      </c>
      <c r="D299" s="213">
        <f>'[1]Nota II.1.12b'!D149</f>
        <v>2600387160</v>
      </c>
    </row>
    <row r="300" spans="1:9" ht="27" customHeight="1" x14ac:dyDescent="0.25">
      <c r="A300" s="669" t="s">
        <v>331</v>
      </c>
      <c r="B300" s="663"/>
      <c r="C300" s="212">
        <f>'[1]Nota II.1.12b'!C150</f>
        <v>6072334</v>
      </c>
      <c r="D300" s="213">
        <f>'[1]Nota II.1.12b'!D150</f>
        <v>11085938.300000001</v>
      </c>
    </row>
    <row r="301" spans="1:9" x14ac:dyDescent="0.25">
      <c r="A301" s="565" t="s">
        <v>332</v>
      </c>
      <c r="B301" s="663"/>
      <c r="C301" s="212">
        <f>'[1]Nota II.1.12b'!C151</f>
        <v>0</v>
      </c>
      <c r="D301" s="213">
        <f>'[1]Nota II.1.12b'!D151</f>
        <v>0</v>
      </c>
    </row>
    <row r="302" spans="1:9" ht="29.25" customHeight="1" x14ac:dyDescent="0.25">
      <c r="A302" s="565" t="s">
        <v>333</v>
      </c>
      <c r="B302" s="663"/>
      <c r="C302" s="212">
        <f>'[1]Nota II.1.12b'!C152</f>
        <v>0</v>
      </c>
      <c r="D302" s="213">
        <f>'[1]Nota II.1.12b'!D152</f>
        <v>0</v>
      </c>
    </row>
    <row r="303" spans="1:9" ht="25.5" customHeight="1" x14ac:dyDescent="0.25">
      <c r="A303" s="565" t="s">
        <v>334</v>
      </c>
      <c r="B303" s="663"/>
      <c r="C303" s="212">
        <f>'[1]Nota II.1.12b'!C153</f>
        <v>4530310</v>
      </c>
      <c r="D303" s="213">
        <f>'[1]Nota II.1.12b'!D153</f>
        <v>924790</v>
      </c>
    </row>
    <row r="304" spans="1:9" x14ac:dyDescent="0.25">
      <c r="A304" s="565" t="s">
        <v>335</v>
      </c>
      <c r="B304" s="567"/>
      <c r="C304" s="212">
        <f>'[1]Nota II.1.12b'!C155</f>
        <v>9694404.5500000007</v>
      </c>
      <c r="D304" s="213">
        <f>'[1]Nota II.1.12b'!D155</f>
        <v>5880605.71</v>
      </c>
    </row>
    <row r="305" spans="1:8" ht="13.5" thickBot="1" x14ac:dyDescent="0.3">
      <c r="A305" s="577" t="s">
        <v>336</v>
      </c>
      <c r="B305" s="664"/>
      <c r="C305" s="212">
        <f>'[1]Nota II.1.12b'!C154-'[1]Nota II.1.12b'!C155</f>
        <v>185401722.41999999</v>
      </c>
      <c r="D305" s="212">
        <f>'[1]Nota II.1.12b'!D154-'[1]Nota II.1.12b'!D155</f>
        <v>139239494.23999998</v>
      </c>
    </row>
    <row r="306" spans="1:8" ht="13.5" thickBot="1" x14ac:dyDescent="0.3">
      <c r="A306" s="661" t="s">
        <v>268</v>
      </c>
      <c r="B306" s="665"/>
      <c r="C306" s="197">
        <f>SUM(C296:C305)</f>
        <v>3066723680.9700003</v>
      </c>
      <c r="D306" s="197">
        <f>SUM(D296:D305)</f>
        <v>2757535978.25</v>
      </c>
    </row>
    <row r="307" spans="1:8" x14ac:dyDescent="0.2">
      <c r="A307" s="71"/>
      <c r="B307" s="71"/>
      <c r="C307" s="71"/>
      <c r="D307" s="71"/>
    </row>
    <row r="308" spans="1:8" x14ac:dyDescent="0.2">
      <c r="A308" s="71"/>
      <c r="B308" s="71"/>
      <c r="C308" s="71"/>
      <c r="D308" s="71"/>
    </row>
    <row r="309" spans="1:8" x14ac:dyDescent="0.2">
      <c r="A309" s="71"/>
      <c r="B309" s="71"/>
      <c r="C309" s="71"/>
      <c r="D309" s="71"/>
    </row>
    <row r="310" spans="1:8" x14ac:dyDescent="0.25">
      <c r="A310" s="666" t="s">
        <v>337</v>
      </c>
      <c r="B310" s="666"/>
      <c r="C310" s="666"/>
    </row>
    <row r="311" spans="1:8" ht="13.5" thickBot="1" x14ac:dyDescent="0.3">
      <c r="A311" s="214"/>
      <c r="B311" s="177"/>
      <c r="C311" s="177"/>
    </row>
    <row r="312" spans="1:8" ht="13.5" thickBot="1" x14ac:dyDescent="0.3">
      <c r="A312" s="661" t="s">
        <v>338</v>
      </c>
      <c r="B312" s="625"/>
      <c r="C312" s="215" t="s">
        <v>6</v>
      </c>
      <c r="D312" s="216" t="s">
        <v>7</v>
      </c>
      <c r="G312" s="662"/>
      <c r="H312" s="662"/>
    </row>
    <row r="313" spans="1:8" ht="13.5" thickBot="1" x14ac:dyDescent="0.3">
      <c r="A313" s="490" t="s">
        <v>339</v>
      </c>
      <c r="B313" s="492"/>
      <c r="C313" s="204">
        <f>SUM(C314:C323)</f>
        <v>4013577.02</v>
      </c>
      <c r="D313" s="217">
        <f>SUM(D314:D323)</f>
        <v>5409250.7199999997</v>
      </c>
      <c r="G313" s="662"/>
      <c r="H313" s="662"/>
    </row>
    <row r="314" spans="1:8" ht="55.5" customHeight="1" x14ac:dyDescent="0.25">
      <c r="A314" s="657" t="s">
        <v>340</v>
      </c>
      <c r="B314" s="658"/>
      <c r="C314" s="218">
        <f>'[1]Nota II.1.13a'!B100</f>
        <v>0</v>
      </c>
      <c r="D314" s="218">
        <f>'[1]Nota II.1.13a'!C100</f>
        <v>0</v>
      </c>
      <c r="G314" s="662"/>
      <c r="H314" s="662"/>
    </row>
    <row r="315" spans="1:8" hidden="1" x14ac:dyDescent="0.25">
      <c r="A315" s="659" t="s">
        <v>341</v>
      </c>
      <c r="B315" s="660"/>
      <c r="C315" s="219">
        <f>'[1]Nota II.1.13a'!B43</f>
        <v>0</v>
      </c>
      <c r="D315" s="219">
        <f>'[1]Nota II.1.13a'!C43</f>
        <v>0</v>
      </c>
    </row>
    <row r="316" spans="1:8" x14ac:dyDescent="0.25">
      <c r="A316" s="535" t="s">
        <v>342</v>
      </c>
      <c r="B316" s="536"/>
      <c r="C316" s="219">
        <f>'[1]Nota II.1.13a'!B102</f>
        <v>77432.509999999995</v>
      </c>
      <c r="D316" s="219">
        <f>'[1]Nota II.1.13a'!C102</f>
        <v>58559.56</v>
      </c>
    </row>
    <row r="317" spans="1:8" hidden="1" x14ac:dyDescent="0.25">
      <c r="A317" s="527" t="s">
        <v>343</v>
      </c>
      <c r="B317" s="528"/>
      <c r="C317" s="219">
        <f>'[1]Nota II.1.13a'!B45</f>
        <v>0</v>
      </c>
      <c r="D317" s="219">
        <f>'[1]Nota II.1.13a'!C45</f>
        <v>0</v>
      </c>
    </row>
    <row r="318" spans="1:8" ht="32.25" customHeight="1" x14ac:dyDescent="0.25">
      <c r="A318" s="527" t="s">
        <v>344</v>
      </c>
      <c r="B318" s="528"/>
      <c r="C318" s="219">
        <f>'[1]Nota II.1.13a'!B104</f>
        <v>2027280.09</v>
      </c>
      <c r="D318" s="219">
        <f>'[1]Nota II.1.13a'!C104</f>
        <v>4303470.6900000004</v>
      </c>
    </row>
    <row r="319" spans="1:8" x14ac:dyDescent="0.25">
      <c r="A319" s="537" t="s">
        <v>345</v>
      </c>
      <c r="B319" s="538"/>
      <c r="C319" s="219">
        <f>'[1]Nota II.1.13a'!B105</f>
        <v>0</v>
      </c>
      <c r="D319" s="219">
        <f>'[1]Nota II.1.13a'!C105</f>
        <v>0</v>
      </c>
    </row>
    <row r="320" spans="1:8" x14ac:dyDescent="0.25">
      <c r="A320" s="537" t="s">
        <v>346</v>
      </c>
      <c r="B320" s="538"/>
      <c r="C320" s="219">
        <f>'[1]Nota II.1.13a'!B106</f>
        <v>0</v>
      </c>
      <c r="D320" s="219">
        <f>'[1]Nota II.1.13a'!C106</f>
        <v>0</v>
      </c>
    </row>
    <row r="321" spans="1:4" hidden="1" x14ac:dyDescent="0.25">
      <c r="A321" s="535" t="s">
        <v>347</v>
      </c>
      <c r="B321" s="536"/>
      <c r="C321" s="219">
        <f>'[1]Nota II.1.13a'!B49</f>
        <v>0</v>
      </c>
      <c r="D321" s="219">
        <f>'[1]Nota II.1.13a'!C49</f>
        <v>0</v>
      </c>
    </row>
    <row r="322" spans="1:4" hidden="1" x14ac:dyDescent="0.25">
      <c r="A322" s="537" t="s">
        <v>348</v>
      </c>
      <c r="B322" s="538"/>
      <c r="C322" s="219">
        <f>'[1]Nota II.1.13a'!B50</f>
        <v>0</v>
      </c>
      <c r="D322" s="219">
        <f>'[1]Nota II.1.13a'!C50</f>
        <v>0</v>
      </c>
    </row>
    <row r="323" spans="1:4" ht="13.5" thickBot="1" x14ac:dyDescent="0.3">
      <c r="A323" s="655" t="s">
        <v>176</v>
      </c>
      <c r="B323" s="656"/>
      <c r="C323" s="220">
        <f>'[1]Nota II.1.13a'!B109</f>
        <v>1908864.42</v>
      </c>
      <c r="D323" s="220">
        <f>'[1]Nota II.1.13a'!C109</f>
        <v>1047220.47</v>
      </c>
    </row>
    <row r="324" spans="1:4" ht="13.5" thickBot="1" x14ac:dyDescent="0.3">
      <c r="A324" s="490" t="s">
        <v>349</v>
      </c>
      <c r="B324" s="492"/>
      <c r="C324" s="204">
        <f>SUM(C325:C334)</f>
        <v>39560882.090000004</v>
      </c>
      <c r="D324" s="205">
        <f>SUM(D325:D334)</f>
        <v>49970498.439999998</v>
      </c>
    </row>
    <row r="325" spans="1:4" ht="59.25" customHeight="1" x14ac:dyDescent="0.25">
      <c r="A325" s="657" t="s">
        <v>340</v>
      </c>
      <c r="B325" s="658"/>
      <c r="C325" s="218">
        <f>'[1]Nota II.1.13a'!B111</f>
        <v>0</v>
      </c>
      <c r="D325" s="218">
        <f>'[1]Nota II.1.13a'!C111</f>
        <v>0</v>
      </c>
    </row>
    <row r="326" spans="1:4" x14ac:dyDescent="0.25">
      <c r="A326" s="659" t="s">
        <v>341</v>
      </c>
      <c r="B326" s="660"/>
      <c r="C326" s="219">
        <f>'[1]Nota II.1.13a'!B112</f>
        <v>2019419.62</v>
      </c>
      <c r="D326" s="219">
        <f>'[1]Nota II.1.13a'!C112</f>
        <v>4489486.66</v>
      </c>
    </row>
    <row r="327" spans="1:4" x14ac:dyDescent="0.25">
      <c r="A327" s="535" t="s">
        <v>342</v>
      </c>
      <c r="B327" s="536"/>
      <c r="C327" s="219">
        <f>'[1]Nota II.1.13a'!B113</f>
        <v>21539.15</v>
      </c>
      <c r="D327" s="219">
        <f>'[1]Nota II.1.13a'!C113</f>
        <v>18872.95</v>
      </c>
    </row>
    <row r="328" spans="1:4" hidden="1" x14ac:dyDescent="0.25">
      <c r="A328" s="527" t="s">
        <v>343</v>
      </c>
      <c r="B328" s="528"/>
      <c r="C328" s="219">
        <f>'[1]Nota II.1.13a'!B85</f>
        <v>0</v>
      </c>
      <c r="D328" s="219">
        <f>'[1]Nota II.1.13a'!C85</f>
        <v>0</v>
      </c>
    </row>
    <row r="329" spans="1:4" ht="24.75" customHeight="1" x14ac:dyDescent="0.25">
      <c r="A329" s="527" t="s">
        <v>344</v>
      </c>
      <c r="B329" s="528"/>
      <c r="C329" s="219">
        <f>'[1]Nota II.1.13a'!B115</f>
        <v>35563439.520000003</v>
      </c>
      <c r="D329" s="219">
        <f>'[1]Nota II.1.13a'!C115</f>
        <v>35056670.490000002</v>
      </c>
    </row>
    <row r="330" spans="1:4" x14ac:dyDescent="0.25">
      <c r="A330" s="527" t="s">
        <v>345</v>
      </c>
      <c r="B330" s="528"/>
      <c r="C330" s="219">
        <f>'[1]Nota II.1.13a'!B116</f>
        <v>32286.62</v>
      </c>
      <c r="D330" s="219">
        <f>'[1]Nota II.1.13a'!C116</f>
        <v>48113.760000000002</v>
      </c>
    </row>
    <row r="331" spans="1:4" x14ac:dyDescent="0.25">
      <c r="A331" s="537" t="s">
        <v>346</v>
      </c>
      <c r="B331" s="538"/>
      <c r="C331" s="219">
        <f>'[1]Nota II.1.13a'!B117</f>
        <v>36755.06</v>
      </c>
      <c r="D331" s="219">
        <f>'[1]Nota II.1.13a'!C117</f>
        <v>8535007.0600000005</v>
      </c>
    </row>
    <row r="332" spans="1:4" x14ac:dyDescent="0.25">
      <c r="A332" s="537" t="s">
        <v>350</v>
      </c>
      <c r="B332" s="538"/>
      <c r="C332" s="219">
        <f>'[1]Nota II.1.13a'!B118</f>
        <v>146843.37</v>
      </c>
      <c r="D332" s="219">
        <f>'[1]Nota II.1.13a'!C118</f>
        <v>149007.32999999999</v>
      </c>
    </row>
    <row r="333" spans="1:4" hidden="1" x14ac:dyDescent="0.25">
      <c r="A333" s="537" t="s">
        <v>348</v>
      </c>
      <c r="B333" s="538"/>
      <c r="C333" s="219">
        <f>'[1]Nota II.1.13a'!B119</f>
        <v>0</v>
      </c>
      <c r="D333" s="219">
        <f>'[1]Nota II.1.13a'!C90</f>
        <v>0</v>
      </c>
    </row>
    <row r="334" spans="1:4" ht="13.5" thickBot="1" x14ac:dyDescent="0.3">
      <c r="A334" s="648" t="s">
        <v>351</v>
      </c>
      <c r="B334" s="649"/>
      <c r="C334" s="219">
        <f>'[1]Nota II.1.13a'!B120</f>
        <v>1740598.75</v>
      </c>
      <c r="D334" s="220">
        <f>'[1]Nota II.1.13a'!C120</f>
        <v>1673340.19</v>
      </c>
    </row>
    <row r="335" spans="1:4" ht="13.5" thickBot="1" x14ac:dyDescent="0.3">
      <c r="A335" s="634" t="s">
        <v>268</v>
      </c>
      <c r="B335" s="635"/>
      <c r="C335" s="174">
        <f>C313+C324</f>
        <v>43574459.110000007</v>
      </c>
      <c r="D335" s="172">
        <f>D313+D324</f>
        <v>55379749.159999996</v>
      </c>
    </row>
    <row r="345" spans="1:5" ht="27" customHeight="1" x14ac:dyDescent="0.2">
      <c r="A345" s="650" t="s">
        <v>352</v>
      </c>
      <c r="B345" s="650"/>
      <c r="C345" s="650"/>
      <c r="D345" s="415"/>
      <c r="E345" s="415"/>
    </row>
    <row r="346" spans="1:5" ht="13.5" thickBot="1" x14ac:dyDescent="0.25">
      <c r="A346" s="177"/>
      <c r="B346" s="177"/>
      <c r="C346" s="177"/>
      <c r="D346" s="71"/>
    </row>
    <row r="347" spans="1:5" ht="13.5" thickBot="1" x14ac:dyDescent="0.3">
      <c r="A347" s="651" t="s">
        <v>353</v>
      </c>
      <c r="B347" s="652"/>
      <c r="C347" s="221" t="s">
        <v>6</v>
      </c>
      <c r="D347" s="192" t="s">
        <v>292</v>
      </c>
    </row>
    <row r="348" spans="1:5" x14ac:dyDescent="0.25">
      <c r="A348" s="653" t="s">
        <v>354</v>
      </c>
      <c r="B348" s="654"/>
      <c r="C348" s="222">
        <f>SUM(C349:C355)</f>
        <v>152295740.52000001</v>
      </c>
      <c r="D348" s="222">
        <f>SUM(D349:D355)</f>
        <v>151005248.47</v>
      </c>
    </row>
    <row r="349" spans="1:5" x14ac:dyDescent="0.25">
      <c r="A349" s="646" t="s">
        <v>355</v>
      </c>
      <c r="B349" s="647"/>
      <c r="C349" s="223">
        <f>'[1]Nota II.1.13b'!B110</f>
        <v>117324055.54000001</v>
      </c>
      <c r="D349" s="223">
        <f>'[1]Nota II.1.13b'!C110</f>
        <v>121418786.23999999</v>
      </c>
    </row>
    <row r="350" spans="1:5" x14ac:dyDescent="0.25">
      <c r="A350" s="646" t="s">
        <v>356</v>
      </c>
      <c r="B350" s="647"/>
      <c r="C350" s="223">
        <f>'[1]Nota II.1.13b'!B111</f>
        <v>429033</v>
      </c>
      <c r="D350" s="223">
        <f>'[1]Nota II.1.13b'!C111</f>
        <v>0</v>
      </c>
    </row>
    <row r="351" spans="1:5" ht="27.75" customHeight="1" x14ac:dyDescent="0.25">
      <c r="A351" s="499" t="s">
        <v>357</v>
      </c>
      <c r="B351" s="501"/>
      <c r="C351" s="223">
        <f>'[1]Nota II.1.13b'!B112</f>
        <v>6847728.7699999996</v>
      </c>
      <c r="D351" s="223">
        <f>'[1]Nota II.1.13b'!C112</f>
        <v>5105865.0999999996</v>
      </c>
    </row>
    <row r="352" spans="1:5" x14ac:dyDescent="0.25">
      <c r="A352" s="499" t="s">
        <v>358</v>
      </c>
      <c r="B352" s="501"/>
      <c r="C352" s="223">
        <f>'[1]Nota II.1.13b'!B113</f>
        <v>80509.17</v>
      </c>
      <c r="D352" s="223">
        <f>'[1]Nota II.1.13b'!C113</f>
        <v>0</v>
      </c>
    </row>
    <row r="353" spans="1:4" ht="17.25" customHeight="1" x14ac:dyDescent="0.25">
      <c r="A353" s="499" t="s">
        <v>359</v>
      </c>
      <c r="B353" s="501"/>
      <c r="C353" s="223">
        <f>'[1]Nota II.1.13b'!B114</f>
        <v>0</v>
      </c>
      <c r="D353" s="223">
        <f>'[1]Nota II.1.13b'!C114</f>
        <v>506745.72</v>
      </c>
    </row>
    <row r="354" spans="1:4" ht="16.5" customHeight="1" x14ac:dyDescent="0.25">
      <c r="A354" s="499" t="s">
        <v>360</v>
      </c>
      <c r="B354" s="501"/>
      <c r="C354" s="223">
        <f>'[1]Nota II.1.13b'!B115</f>
        <v>0</v>
      </c>
      <c r="D354" s="223">
        <f>'[1]Nota II.1.13b'!C115</f>
        <v>0</v>
      </c>
    </row>
    <row r="355" spans="1:4" x14ac:dyDescent="0.25">
      <c r="A355" s="499" t="s">
        <v>361</v>
      </c>
      <c r="B355" s="501"/>
      <c r="C355" s="223">
        <f>'[1]Nota II.1.13b'!B116</f>
        <v>27614414.039999999</v>
      </c>
      <c r="D355" s="223">
        <f>'[1]Nota II.1.13b'!C116</f>
        <v>23973851.41</v>
      </c>
    </row>
    <row r="356" spans="1:4" ht="13.5" thickBot="1" x14ac:dyDescent="0.3">
      <c r="A356" s="502" t="s">
        <v>362</v>
      </c>
      <c r="B356" s="504"/>
      <c r="C356" s="223">
        <f>'[1]Nota II.1.13b'!B117</f>
        <v>0</v>
      </c>
      <c r="D356" s="223">
        <f>'[1]Nota II.1.13b'!C117</f>
        <v>0</v>
      </c>
    </row>
    <row r="357" spans="1:4" ht="13.5" hidden="1" thickBot="1" x14ac:dyDescent="0.3">
      <c r="A357" s="642" t="s">
        <v>363</v>
      </c>
      <c r="B357" s="643"/>
      <c r="C357" s="223">
        <f>'[1]Nota II.1.13b'!B70</f>
        <v>0</v>
      </c>
      <c r="D357" s="223">
        <f>'[1]Nota II.1.13b'!C70</f>
        <v>0</v>
      </c>
    </row>
    <row r="358" spans="1:4" ht="13.5" hidden="1" thickBot="1" x14ac:dyDescent="0.3">
      <c r="A358" s="642" t="s">
        <v>364</v>
      </c>
      <c r="B358" s="643"/>
      <c r="C358" s="223">
        <f>'[1]Nota II.1.13b'!B71</f>
        <v>0</v>
      </c>
      <c r="D358" s="223">
        <f>'[1]Nota II.1.13b'!C71</f>
        <v>0</v>
      </c>
    </row>
    <row r="359" spans="1:4" ht="13.5" hidden="1" thickBot="1" x14ac:dyDescent="0.3">
      <c r="A359" s="642" t="s">
        <v>365</v>
      </c>
      <c r="B359" s="643"/>
      <c r="C359" s="223">
        <f>'[1]Nota II.1.13b'!B72</f>
        <v>0</v>
      </c>
      <c r="D359" s="223">
        <f>'[1]Nota II.1.13b'!C72</f>
        <v>0</v>
      </c>
    </row>
    <row r="360" spans="1:4" ht="13.5" hidden="1" thickBot="1" x14ac:dyDescent="0.3">
      <c r="A360" s="644" t="s">
        <v>361</v>
      </c>
      <c r="B360" s="645"/>
      <c r="C360" s="223">
        <f>'[1]Nota II.1.13b'!B73</f>
        <v>0</v>
      </c>
      <c r="D360" s="223">
        <f>'[1]Nota II.1.13b'!C73</f>
        <v>0</v>
      </c>
    </row>
    <row r="361" spans="1:4" ht="13.5" thickBot="1" x14ac:dyDescent="0.3">
      <c r="A361" s="634" t="s">
        <v>268</v>
      </c>
      <c r="B361" s="635"/>
      <c r="C361" s="224">
        <f>C348+C356</f>
        <v>152295740.52000001</v>
      </c>
      <c r="D361" s="224">
        <f>D348+D356</f>
        <v>151005248.47</v>
      </c>
    </row>
    <row r="364" spans="1:4" ht="26.25" customHeight="1" x14ac:dyDescent="0.25">
      <c r="A364" s="636" t="s">
        <v>366</v>
      </c>
      <c r="B364" s="637"/>
      <c r="C364" s="637"/>
      <c r="D364" s="637"/>
    </row>
    <row r="365" spans="1:4" ht="13.5" thickBot="1" x14ac:dyDescent="0.3">
      <c r="B365" s="199"/>
    </row>
    <row r="366" spans="1:4" ht="13.5" thickBot="1" x14ac:dyDescent="0.3">
      <c r="A366" s="638"/>
      <c r="B366" s="639"/>
      <c r="C366" s="225" t="s">
        <v>288</v>
      </c>
      <c r="D366" s="200" t="s">
        <v>7</v>
      </c>
    </row>
    <row r="367" spans="1:4" ht="13.5" thickBot="1" x14ac:dyDescent="0.3">
      <c r="A367" s="640" t="s">
        <v>367</v>
      </c>
      <c r="B367" s="641"/>
      <c r="C367" s="226">
        <f>'[1]Nota II.1.14'!C41</f>
        <v>291785427.11000001</v>
      </c>
      <c r="D367" s="226">
        <f>'[1]Nota II.1.14'!D41</f>
        <v>321796315.69</v>
      </c>
    </row>
    <row r="368" spans="1:4" ht="13.5" thickBot="1" x14ac:dyDescent="0.3">
      <c r="A368" s="490" t="s">
        <v>268</v>
      </c>
      <c r="B368" s="492"/>
      <c r="C368" s="205">
        <f>SUM(C367:C367)</f>
        <v>291785427.11000001</v>
      </c>
      <c r="D368" s="205">
        <f>SUM(D367:D367)</f>
        <v>321796315.69</v>
      </c>
    </row>
    <row r="371" spans="1:9" x14ac:dyDescent="0.2">
      <c r="A371" s="636" t="s">
        <v>368</v>
      </c>
      <c r="B371" s="637"/>
      <c r="C371" s="637"/>
      <c r="D371" s="637"/>
      <c r="E371" s="415"/>
    </row>
    <row r="372" spans="1:9" ht="13.5" thickBot="1" x14ac:dyDescent="0.25">
      <c r="E372" s="71"/>
    </row>
    <row r="373" spans="1:9" ht="26.25" thickBot="1" x14ac:dyDescent="0.25">
      <c r="A373" s="417" t="s">
        <v>190</v>
      </c>
      <c r="B373" s="624"/>
      <c r="C373" s="145" t="s">
        <v>369</v>
      </c>
      <c r="D373" s="145" t="s">
        <v>370</v>
      </c>
      <c r="E373" s="71"/>
    </row>
    <row r="374" spans="1:9" ht="13.5" thickBot="1" x14ac:dyDescent="0.25">
      <c r="A374" s="419" t="s">
        <v>371</v>
      </c>
      <c r="B374" s="625"/>
      <c r="C374" s="227">
        <f>'[1]Nota II.1.15'!C33</f>
        <v>29688470.690000001</v>
      </c>
      <c r="D374" s="227">
        <f>'[1]Nota II.1.15'!D33</f>
        <v>34572405.270000003</v>
      </c>
      <c r="E374" s="71"/>
    </row>
    <row r="375" spans="1:9" x14ac:dyDescent="0.2">
      <c r="A375" s="71"/>
      <c r="B375" s="71"/>
      <c r="C375" s="71"/>
      <c r="D375" s="71"/>
      <c r="E375" s="71"/>
    </row>
    <row r="376" spans="1:9" x14ac:dyDescent="0.2">
      <c r="A376" s="71"/>
      <c r="B376" s="71"/>
      <c r="C376" s="71"/>
      <c r="D376" s="71"/>
      <c r="E376" s="71"/>
    </row>
    <row r="377" spans="1:9" x14ac:dyDescent="0.2">
      <c r="A377" s="71"/>
      <c r="B377" s="71"/>
      <c r="C377" s="71"/>
      <c r="D377" s="71"/>
      <c r="E377" s="71"/>
    </row>
    <row r="378" spans="1:9" x14ac:dyDescent="0.2">
      <c r="A378" s="71"/>
      <c r="B378" s="71"/>
      <c r="C378" s="71"/>
      <c r="D378" s="71"/>
      <c r="E378" s="71"/>
    </row>
    <row r="379" spans="1:9" ht="29.25" customHeight="1" x14ac:dyDescent="0.2">
      <c r="A379" s="626"/>
      <c r="B379" s="627"/>
      <c r="C379" s="627"/>
      <c r="D379" s="415"/>
      <c r="E379" s="415"/>
    </row>
    <row r="384" spans="1:9" x14ac:dyDescent="0.25">
      <c r="A384" s="628" t="s">
        <v>372</v>
      </c>
      <c r="B384" s="628"/>
      <c r="C384" s="628"/>
      <c r="D384" s="628"/>
      <c r="E384" s="628"/>
      <c r="F384" s="628"/>
      <c r="G384" s="628"/>
      <c r="H384" s="628"/>
      <c r="I384" s="628"/>
    </row>
    <row r="386" spans="1:11" x14ac:dyDescent="0.25">
      <c r="A386" s="628" t="s">
        <v>373</v>
      </c>
      <c r="B386" s="628"/>
      <c r="C386" s="628"/>
      <c r="D386" s="628"/>
      <c r="E386" s="628"/>
      <c r="F386" s="628"/>
      <c r="G386" s="628"/>
      <c r="H386" s="628"/>
      <c r="I386" s="628"/>
    </row>
    <row r="387" spans="1:11" ht="13.5" thickBot="1" x14ac:dyDescent="0.3">
      <c r="A387" s="228"/>
      <c r="B387" s="228"/>
      <c r="C387" s="228"/>
      <c r="D387" s="228"/>
      <c r="E387" s="228"/>
      <c r="F387" s="228"/>
      <c r="G387" s="228"/>
      <c r="H387" s="228"/>
      <c r="I387" s="229"/>
    </row>
    <row r="388" spans="1:11" ht="26.25" thickBot="1" x14ac:dyDescent="0.3">
      <c r="A388" s="629" t="s">
        <v>374</v>
      </c>
      <c r="B388" s="631" t="s">
        <v>375</v>
      </c>
      <c r="C388" s="632"/>
      <c r="D388" s="633"/>
      <c r="E388" s="230" t="s">
        <v>214</v>
      </c>
      <c r="F388" s="631" t="s">
        <v>376</v>
      </c>
      <c r="G388" s="632"/>
      <c r="H388" s="633"/>
      <c r="I388" s="231" t="s">
        <v>268</v>
      </c>
      <c r="J388" s="232"/>
      <c r="K388" s="233"/>
    </row>
    <row r="389" spans="1:11" ht="64.5" thickBot="1" x14ac:dyDescent="0.3">
      <c r="A389" s="630"/>
      <c r="B389" s="234" t="s">
        <v>377</v>
      </c>
      <c r="C389" s="235" t="s">
        <v>378</v>
      </c>
      <c r="D389" s="236" t="s">
        <v>218</v>
      </c>
      <c r="E389" s="237" t="s">
        <v>379</v>
      </c>
      <c r="F389" s="234" t="s">
        <v>377</v>
      </c>
      <c r="G389" s="235" t="s">
        <v>380</v>
      </c>
      <c r="H389" s="236" t="s">
        <v>381</v>
      </c>
      <c r="I389" s="238"/>
      <c r="J389" s="239"/>
      <c r="K389" s="233"/>
    </row>
    <row r="390" spans="1:11" ht="26.25" thickBot="1" x14ac:dyDescent="0.3">
      <c r="A390" s="240" t="s">
        <v>195</v>
      </c>
      <c r="B390" s="241">
        <f>'[1]Nota II.1.16a'!B90</f>
        <v>6124202691.8599997</v>
      </c>
      <c r="C390" s="241">
        <f>'[1]Nota II.1.16a'!C90</f>
        <v>0</v>
      </c>
      <c r="D390" s="241">
        <f>'[1]Nota II.1.16a'!D90</f>
        <v>0</v>
      </c>
      <c r="E390" s="241">
        <f>'[1]Nota II.1.16a'!E90</f>
        <v>67137432.420000002</v>
      </c>
      <c r="F390" s="241">
        <f>'[1]Nota II.1.16a'!F90</f>
        <v>0</v>
      </c>
      <c r="G390" s="241">
        <f>'[1]Nota II.1.16a'!G90</f>
        <v>0</v>
      </c>
      <c r="H390" s="241">
        <f>'[1]Nota II.1.16a'!H90</f>
        <v>0</v>
      </c>
      <c r="I390" s="242">
        <f>SUM(B390:H390)</f>
        <v>6191340124.2799997</v>
      </c>
      <c r="J390" s="243"/>
      <c r="K390" s="244"/>
    </row>
    <row r="391" spans="1:11" ht="13.5" thickBot="1" x14ac:dyDescent="0.3">
      <c r="A391" s="245" t="s">
        <v>183</v>
      </c>
      <c r="B391" s="246">
        <f t="shared" ref="B391:I391" si="16">SUM(B392:B394)</f>
        <v>591975000</v>
      </c>
      <c r="C391" s="247">
        <f t="shared" si="16"/>
        <v>0</v>
      </c>
      <c r="D391" s="248">
        <f t="shared" si="16"/>
        <v>0</v>
      </c>
      <c r="E391" s="245">
        <f t="shared" si="16"/>
        <v>0</v>
      </c>
      <c r="F391" s="246">
        <f t="shared" si="16"/>
        <v>0</v>
      </c>
      <c r="G391" s="247">
        <f t="shared" si="16"/>
        <v>0</v>
      </c>
      <c r="H391" s="249">
        <f t="shared" si="16"/>
        <v>0</v>
      </c>
      <c r="I391" s="245">
        <f t="shared" si="16"/>
        <v>591975000</v>
      </c>
      <c r="J391" s="250"/>
      <c r="K391" s="250"/>
    </row>
    <row r="392" spans="1:11" x14ac:dyDescent="0.25">
      <c r="A392" s="251" t="s">
        <v>382</v>
      </c>
      <c r="B392" s="252">
        <f>'[1]Nota II.1.16a'!B92</f>
        <v>591975000</v>
      </c>
      <c r="C392" s="252">
        <f>'[1]Nota II.1.16a'!C92</f>
        <v>0</v>
      </c>
      <c r="D392" s="252">
        <f>'[1]Nota II.1.16a'!D92</f>
        <v>0</v>
      </c>
      <c r="E392" s="252">
        <f>'[1]Nota II.1.16a'!E92</f>
        <v>0</v>
      </c>
      <c r="F392" s="252">
        <f>'[1]Nota II.1.16a'!F92</f>
        <v>0</v>
      </c>
      <c r="G392" s="252">
        <f>'[1]Nota II.1.16a'!G92</f>
        <v>0</v>
      </c>
      <c r="H392" s="252">
        <f>'[1]Nota II.1.16a'!H92</f>
        <v>0</v>
      </c>
      <c r="I392" s="253">
        <f>SUM(B392:H392)</f>
        <v>591975000</v>
      </c>
      <c r="J392" s="254"/>
      <c r="K392" s="255"/>
    </row>
    <row r="393" spans="1:11" x14ac:dyDescent="0.25">
      <c r="A393" s="256" t="s">
        <v>383</v>
      </c>
      <c r="B393" s="252">
        <f>'[1]Nota II.1.16a'!B93</f>
        <v>0</v>
      </c>
      <c r="C393" s="252">
        <f>'[1]Nota II.1.16a'!C93</f>
        <v>0</v>
      </c>
      <c r="D393" s="252">
        <f>'[1]Nota II.1.16a'!D93</f>
        <v>0</v>
      </c>
      <c r="E393" s="252">
        <f>'[1]Nota II.1.16a'!E93</f>
        <v>0</v>
      </c>
      <c r="F393" s="252">
        <f>'[1]Nota II.1.16a'!F93</f>
        <v>0</v>
      </c>
      <c r="G393" s="252">
        <f>'[1]Nota II.1.16a'!G93</f>
        <v>0</v>
      </c>
      <c r="H393" s="252">
        <f>'[1]Nota II.1.16a'!H93</f>
        <v>0</v>
      </c>
      <c r="I393" s="253">
        <f>SUM(B393:H393)</f>
        <v>0</v>
      </c>
      <c r="J393" s="254"/>
      <c r="K393" s="255"/>
    </row>
    <row r="394" spans="1:11" ht="13.5" thickBot="1" x14ac:dyDescent="0.3">
      <c r="A394" s="257" t="s">
        <v>384</v>
      </c>
      <c r="B394" s="252">
        <f>'[1]Nota II.1.16a'!B94</f>
        <v>0</v>
      </c>
      <c r="C394" s="252">
        <f>'[1]Nota II.1.16a'!C94</f>
        <v>0</v>
      </c>
      <c r="D394" s="252">
        <f>'[1]Nota II.1.16a'!D94</f>
        <v>0</v>
      </c>
      <c r="E394" s="252">
        <f>'[1]Nota II.1.16a'!E94</f>
        <v>0</v>
      </c>
      <c r="F394" s="252">
        <f>'[1]Nota II.1.16a'!F94</f>
        <v>0</v>
      </c>
      <c r="G394" s="252">
        <f>'[1]Nota II.1.16a'!G94</f>
        <v>0</v>
      </c>
      <c r="H394" s="252">
        <f>'[1]Nota II.1.16a'!H94</f>
        <v>0</v>
      </c>
      <c r="I394" s="253">
        <f>SUM(B394:H394)</f>
        <v>0</v>
      </c>
      <c r="J394" s="254"/>
      <c r="K394" s="255"/>
    </row>
    <row r="395" spans="1:11" ht="13.5" thickBot="1" x14ac:dyDescent="0.3">
      <c r="A395" s="245" t="s">
        <v>184</v>
      </c>
      <c r="B395" s="241">
        <f t="shared" ref="B395:I395" si="17">SUM(B396:B399)</f>
        <v>100779022</v>
      </c>
      <c r="C395" s="258">
        <f t="shared" si="17"/>
        <v>0</v>
      </c>
      <c r="D395" s="259">
        <f t="shared" si="17"/>
        <v>0</v>
      </c>
      <c r="E395" s="242">
        <f t="shared" si="17"/>
        <v>0</v>
      </c>
      <c r="F395" s="241">
        <f t="shared" si="17"/>
        <v>0</v>
      </c>
      <c r="G395" s="258">
        <f t="shared" si="17"/>
        <v>0</v>
      </c>
      <c r="H395" s="260">
        <f t="shared" si="17"/>
        <v>0</v>
      </c>
      <c r="I395" s="242">
        <f t="shared" si="17"/>
        <v>100779022</v>
      </c>
      <c r="J395" s="243"/>
      <c r="K395" s="243"/>
    </row>
    <row r="396" spans="1:11" x14ac:dyDescent="0.25">
      <c r="A396" s="261" t="s">
        <v>385</v>
      </c>
      <c r="B396" s="252">
        <f>'[1]Nota II.1.16a'!B98</f>
        <v>99794153.939999998</v>
      </c>
      <c r="C396" s="252">
        <f>'[1]Nota II.1.16a'!C98</f>
        <v>0</v>
      </c>
      <c r="D396" s="252">
        <f>'[1]Nota II.1.16a'!D98</f>
        <v>0</v>
      </c>
      <c r="E396" s="252">
        <f>'[1]Nota II.1.16a'!E98</f>
        <v>0</v>
      </c>
      <c r="F396" s="252">
        <f>'[1]Nota II.1.16a'!F98</f>
        <v>0</v>
      </c>
      <c r="G396" s="252">
        <f>'[1]Nota II.1.16a'!G98</f>
        <v>0</v>
      </c>
      <c r="H396" s="252">
        <f>'[1]Nota II.1.16a'!H98</f>
        <v>0</v>
      </c>
      <c r="I396" s="253">
        <f>SUM(B396:H396)</f>
        <v>99794153.939999998</v>
      </c>
      <c r="J396" s="254"/>
      <c r="K396" s="255"/>
    </row>
    <row r="397" spans="1:11" ht="13.5" customHeight="1" x14ac:dyDescent="0.25">
      <c r="A397" s="261" t="s">
        <v>386</v>
      </c>
      <c r="B397" s="252">
        <f>'[1]Nota II.1.16a'!B99</f>
        <v>0</v>
      </c>
      <c r="C397" s="252">
        <f>'[1]Nota II.1.16a'!C99</f>
        <v>0</v>
      </c>
      <c r="D397" s="252">
        <f>'[1]Nota II.1.16a'!D99</f>
        <v>0</v>
      </c>
      <c r="E397" s="252">
        <f>'[1]Nota II.1.16a'!E99</f>
        <v>0</v>
      </c>
      <c r="F397" s="252">
        <f>'[1]Nota II.1.16a'!F99</f>
        <v>0</v>
      </c>
      <c r="G397" s="252">
        <f>'[1]Nota II.1.16a'!G99</f>
        <v>0</v>
      </c>
      <c r="H397" s="252">
        <f>'[1]Nota II.1.16a'!H99</f>
        <v>0</v>
      </c>
      <c r="I397" s="253">
        <f>SUM(B397:H397)</f>
        <v>0</v>
      </c>
      <c r="J397" s="254"/>
      <c r="K397" s="255"/>
    </row>
    <row r="398" spans="1:11" x14ac:dyDescent="0.25">
      <c r="A398" s="261" t="s">
        <v>387</v>
      </c>
      <c r="B398" s="252">
        <f>'[1]Nota II.1.16a'!B100</f>
        <v>984868.06</v>
      </c>
      <c r="C398" s="252">
        <f>'[1]Nota II.1.16a'!C100</f>
        <v>0</v>
      </c>
      <c r="D398" s="252">
        <f>'[1]Nota II.1.16a'!D100</f>
        <v>0</v>
      </c>
      <c r="E398" s="252">
        <f>'[1]Nota II.1.16a'!E100</f>
        <v>0</v>
      </c>
      <c r="F398" s="252">
        <f>'[1]Nota II.1.16a'!F100</f>
        <v>0</v>
      </c>
      <c r="G398" s="252">
        <f>'[1]Nota II.1.16a'!G100</f>
        <v>0</v>
      </c>
      <c r="H398" s="252">
        <f>'[1]Nota II.1.16a'!H100</f>
        <v>0</v>
      </c>
      <c r="I398" s="253">
        <f>SUM(B398:H398)</f>
        <v>984868.06</v>
      </c>
      <c r="J398" s="254"/>
      <c r="K398" s="255"/>
    </row>
    <row r="399" spans="1:11" ht="13.5" thickBot="1" x14ac:dyDescent="0.3">
      <c r="A399" s="262" t="s">
        <v>388</v>
      </c>
      <c r="B399" s="252">
        <f>'[1]Nota II.1.16a'!B101</f>
        <v>0</v>
      </c>
      <c r="C399" s="252">
        <f>'[1]Nota II.1.16a'!C101</f>
        <v>0</v>
      </c>
      <c r="D399" s="252">
        <f>'[1]Nota II.1.16a'!D101</f>
        <v>0</v>
      </c>
      <c r="E399" s="252">
        <f>'[1]Nota II.1.16a'!E101</f>
        <v>0</v>
      </c>
      <c r="F399" s="252">
        <f>'[1]Nota II.1.16a'!F101</f>
        <v>0</v>
      </c>
      <c r="G399" s="252">
        <f>'[1]Nota II.1.16a'!G101</f>
        <v>0</v>
      </c>
      <c r="H399" s="252">
        <f>'[1]Nota II.1.16a'!H101</f>
        <v>0</v>
      </c>
      <c r="I399" s="253">
        <f>SUM(B399:H399)</f>
        <v>0</v>
      </c>
      <c r="J399" s="254"/>
      <c r="K399" s="255"/>
    </row>
    <row r="400" spans="1:11" ht="26.25" thickBot="1" x14ac:dyDescent="0.3">
      <c r="A400" s="263" t="s">
        <v>201</v>
      </c>
      <c r="B400" s="264">
        <f t="shared" ref="B400:I400" si="18">B390+B391-B395</f>
        <v>6615398669.8599997</v>
      </c>
      <c r="C400" s="265">
        <f t="shared" si="18"/>
        <v>0</v>
      </c>
      <c r="D400" s="266">
        <f t="shared" si="18"/>
        <v>0</v>
      </c>
      <c r="E400" s="267">
        <f t="shared" si="18"/>
        <v>67137432.420000002</v>
      </c>
      <c r="F400" s="264">
        <f t="shared" si="18"/>
        <v>0</v>
      </c>
      <c r="G400" s="265">
        <f t="shared" si="18"/>
        <v>0</v>
      </c>
      <c r="H400" s="268">
        <f t="shared" si="18"/>
        <v>0</v>
      </c>
      <c r="I400" s="267">
        <f t="shared" si="18"/>
        <v>6682536102.2799997</v>
      </c>
      <c r="J400" s="254"/>
      <c r="K400" s="255"/>
    </row>
    <row r="401" spans="1:11" ht="39" customHeight="1" thickBot="1" x14ac:dyDescent="0.3">
      <c r="A401" s="240" t="s">
        <v>389</v>
      </c>
      <c r="B401" s="269">
        <f>'[1]Nota II.1.16a'!B104</f>
        <v>55233662.079999998</v>
      </c>
      <c r="C401" s="269">
        <f>'[1]Nota II.1.16a'!C104</f>
        <v>0</v>
      </c>
      <c r="D401" s="269">
        <f>'[1]Nota II.1.16a'!D104</f>
        <v>0</v>
      </c>
      <c r="E401" s="269">
        <f>'[1]Nota II.1.16a'!E104</f>
        <v>51681962.789999999</v>
      </c>
      <c r="F401" s="269">
        <f>'[1]Nota II.1.16a'!F104</f>
        <v>0</v>
      </c>
      <c r="G401" s="269">
        <f>'[1]Nota II.1.16a'!G104</f>
        <v>0</v>
      </c>
      <c r="H401" s="269">
        <f>'[1]Nota II.1.16a'!H104</f>
        <v>0</v>
      </c>
      <c r="I401" s="270">
        <f>SUM(B401:H401)</f>
        <v>106915624.87</v>
      </c>
      <c r="J401" s="244"/>
      <c r="K401" s="244"/>
    </row>
    <row r="402" spans="1:11" x14ac:dyDescent="0.25">
      <c r="A402" s="271" t="s">
        <v>183</v>
      </c>
      <c r="B402" s="272">
        <f>'[1]Nota II.1.16a'!B105</f>
        <v>24272163.469999999</v>
      </c>
      <c r="C402" s="272">
        <f>'[1]Nota II.1.16a'!C105</f>
        <v>0</v>
      </c>
      <c r="D402" s="272">
        <f>'[1]Nota II.1.16a'!D105</f>
        <v>0</v>
      </c>
      <c r="E402" s="272">
        <f>'[1]Nota II.1.16a'!E105</f>
        <v>2959968.4</v>
      </c>
      <c r="F402" s="272">
        <f>'[1]Nota II.1.16a'!F105</f>
        <v>0</v>
      </c>
      <c r="G402" s="272">
        <f>'[1]Nota II.1.16a'!G105</f>
        <v>0</v>
      </c>
      <c r="H402" s="272">
        <f>'[1]Nota II.1.16a'!H105</f>
        <v>0</v>
      </c>
      <c r="I402" s="273">
        <f>SUM(B402:H402)</f>
        <v>27232131.869999997</v>
      </c>
    </row>
    <row r="403" spans="1:11" ht="13.5" thickBot="1" x14ac:dyDescent="0.3">
      <c r="A403" s="274" t="s">
        <v>184</v>
      </c>
      <c r="B403" s="275">
        <f>'[1]Nota II.1.16a'!B106</f>
        <v>13464062.619999999</v>
      </c>
      <c r="C403" s="275">
        <f>'[1]Nota II.1.16a'!C106</f>
        <v>0</v>
      </c>
      <c r="D403" s="275">
        <f>'[1]Nota II.1.16a'!D106</f>
        <v>0</v>
      </c>
      <c r="E403" s="275">
        <f>'[1]Nota II.1.16a'!E106</f>
        <v>0</v>
      </c>
      <c r="F403" s="275">
        <f>'[1]Nota II.1.16a'!F106</f>
        <v>0</v>
      </c>
      <c r="G403" s="275">
        <f>'[1]Nota II.1.16a'!G106</f>
        <v>0</v>
      </c>
      <c r="H403" s="275">
        <f>'[1]Nota II.1.16a'!H106</f>
        <v>0</v>
      </c>
      <c r="I403" s="276">
        <f>SUM(B403:H403)</f>
        <v>13464062.619999999</v>
      </c>
    </row>
    <row r="404" spans="1:11" ht="39" thickBot="1" x14ac:dyDescent="0.3">
      <c r="A404" s="277" t="s">
        <v>390</v>
      </c>
      <c r="B404" s="278">
        <f>B401+B402-B403</f>
        <v>66041762.93</v>
      </c>
      <c r="C404" s="279">
        <f t="shared" ref="C404:I404" si="19">C401+C402-C403</f>
        <v>0</v>
      </c>
      <c r="D404" s="280">
        <f t="shared" si="19"/>
        <v>0</v>
      </c>
      <c r="E404" s="270">
        <f t="shared" si="19"/>
        <v>54641931.189999998</v>
      </c>
      <c r="F404" s="278">
        <f t="shared" si="19"/>
        <v>0</v>
      </c>
      <c r="G404" s="279">
        <f t="shared" si="19"/>
        <v>0</v>
      </c>
      <c r="H404" s="280">
        <f t="shared" si="19"/>
        <v>0</v>
      </c>
      <c r="I404" s="270">
        <f t="shared" si="19"/>
        <v>120683694.12</v>
      </c>
    </row>
    <row r="405" spans="1:11" ht="26.25" thickBot="1" x14ac:dyDescent="0.3">
      <c r="A405" s="281" t="s">
        <v>391</v>
      </c>
      <c r="B405" s="282">
        <f t="shared" ref="B405:I405" si="20">B390-B401</f>
        <v>6068969029.7799997</v>
      </c>
      <c r="C405" s="283">
        <f t="shared" si="20"/>
        <v>0</v>
      </c>
      <c r="D405" s="284">
        <f t="shared" si="20"/>
        <v>0</v>
      </c>
      <c r="E405" s="197">
        <f t="shared" si="20"/>
        <v>15455469.630000003</v>
      </c>
      <c r="F405" s="282">
        <f t="shared" si="20"/>
        <v>0</v>
      </c>
      <c r="G405" s="283">
        <f t="shared" si="20"/>
        <v>0</v>
      </c>
      <c r="H405" s="284">
        <f t="shared" si="20"/>
        <v>0</v>
      </c>
      <c r="I405" s="197">
        <f t="shared" si="20"/>
        <v>6084424499.4099998</v>
      </c>
    </row>
    <row r="406" spans="1:11" ht="25.15" customHeight="1" thickBot="1" x14ac:dyDescent="0.3">
      <c r="A406" s="285" t="s">
        <v>392</v>
      </c>
      <c r="B406" s="282">
        <f>B400-B404</f>
        <v>6549356906.9299994</v>
      </c>
      <c r="C406" s="283">
        <f t="shared" ref="C406:I406" si="21">C400-C404</f>
        <v>0</v>
      </c>
      <c r="D406" s="284">
        <f t="shared" si="21"/>
        <v>0</v>
      </c>
      <c r="E406" s="197">
        <f t="shared" si="21"/>
        <v>12495501.230000004</v>
      </c>
      <c r="F406" s="282">
        <f t="shared" si="21"/>
        <v>0</v>
      </c>
      <c r="G406" s="283">
        <f t="shared" si="21"/>
        <v>0</v>
      </c>
      <c r="H406" s="284">
        <f t="shared" si="21"/>
        <v>0</v>
      </c>
      <c r="I406" s="197">
        <f t="shared" si="21"/>
        <v>6561852408.1599998</v>
      </c>
    </row>
    <row r="407" spans="1:11" x14ac:dyDescent="0.25">
      <c r="A407" s="177"/>
      <c r="B407" s="286"/>
      <c r="C407" s="286"/>
      <c r="E407" s="287"/>
      <c r="F407" s="287"/>
      <c r="G407" s="287"/>
      <c r="H407" s="287"/>
      <c r="I407" s="287"/>
    </row>
    <row r="408" spans="1:11" x14ac:dyDescent="0.25">
      <c r="A408" s="177"/>
      <c r="B408" s="286"/>
      <c r="C408" s="286"/>
      <c r="E408" s="287"/>
      <c r="F408" s="287"/>
      <c r="G408" s="287"/>
      <c r="H408" s="287"/>
      <c r="I408" s="287"/>
    </row>
    <row r="409" spans="1:11" x14ac:dyDescent="0.25">
      <c r="A409" s="177"/>
      <c r="B409" s="286"/>
      <c r="C409" s="286"/>
      <c r="E409" s="287"/>
      <c r="F409" s="287"/>
      <c r="G409" s="287"/>
      <c r="H409" s="287"/>
      <c r="I409" s="287"/>
    </row>
    <row r="410" spans="1:11" x14ac:dyDescent="0.25">
      <c r="A410" s="431" t="s">
        <v>393</v>
      </c>
      <c r="B410" s="615"/>
      <c r="C410" s="615"/>
      <c r="E410" s="287"/>
      <c r="F410" s="287"/>
      <c r="G410" s="287"/>
      <c r="H410" s="287"/>
      <c r="I410" s="287"/>
    </row>
    <row r="411" spans="1:11" ht="13.5" thickBot="1" x14ac:dyDescent="0.3">
      <c r="A411" s="177"/>
      <c r="B411" s="286"/>
      <c r="C411" s="286"/>
      <c r="E411" s="287"/>
      <c r="F411" s="287"/>
      <c r="G411" s="287"/>
      <c r="H411" s="287"/>
      <c r="I411" s="287"/>
    </row>
    <row r="412" spans="1:11" ht="13.5" thickBot="1" x14ac:dyDescent="0.3">
      <c r="A412" s="616"/>
      <c r="B412" s="617"/>
      <c r="C412" s="288" t="s">
        <v>6</v>
      </c>
      <c r="D412" s="216" t="s">
        <v>292</v>
      </c>
    </row>
    <row r="413" spans="1:11" ht="13.5" thickBot="1" x14ac:dyDescent="0.3">
      <c r="A413" s="618" t="s">
        <v>394</v>
      </c>
      <c r="B413" s="619"/>
      <c r="C413" s="289">
        <f>'[1]Nota II.1.16b'!B90</f>
        <v>6486580.5300000003</v>
      </c>
      <c r="D413" s="289">
        <f>'[1]Nota II.1.16b'!C90</f>
        <v>11350725.470000001</v>
      </c>
      <c r="E413" s="290"/>
      <c r="F413" s="290"/>
      <c r="G413" s="290"/>
      <c r="H413" s="290"/>
      <c r="I413" s="290"/>
    </row>
    <row r="414" spans="1:11" ht="13.5" thickBot="1" x14ac:dyDescent="0.3">
      <c r="A414" s="620" t="s">
        <v>395</v>
      </c>
      <c r="B414" s="621"/>
      <c r="C414" s="289">
        <f>'[1]Nota II.1.16b'!B91</f>
        <v>62483697.159999996</v>
      </c>
      <c r="D414" s="289">
        <f>'[1]Nota II.1.16b'!C91</f>
        <v>116302933.90000001</v>
      </c>
      <c r="E414" s="291"/>
      <c r="F414" s="291"/>
      <c r="G414" s="291"/>
      <c r="H414" s="291"/>
      <c r="I414" s="291"/>
    </row>
    <row r="415" spans="1:11" ht="13.5" thickBot="1" x14ac:dyDescent="0.3">
      <c r="A415" s="620" t="s">
        <v>396</v>
      </c>
      <c r="B415" s="621"/>
      <c r="C415" s="289">
        <f>'[1]Nota II.1.16b'!B92</f>
        <v>202.27</v>
      </c>
      <c r="D415" s="289">
        <f>'[1]Nota II.1.16b'!C92</f>
        <v>129.99</v>
      </c>
      <c r="E415" s="292"/>
      <c r="F415" s="292"/>
      <c r="G415" s="292"/>
      <c r="H415" s="292"/>
      <c r="I415" s="292"/>
    </row>
    <row r="416" spans="1:11" x14ac:dyDescent="0.25">
      <c r="A416" s="622" t="s">
        <v>397</v>
      </c>
      <c r="B416" s="623"/>
      <c r="C416" s="289">
        <f>C417+C420+C421+C422+C423</f>
        <v>350592112.39999998</v>
      </c>
      <c r="D416" s="289">
        <f>D417+D420+D421+D422+D423</f>
        <v>296504009.94999993</v>
      </c>
    </row>
    <row r="417" spans="1:6" x14ac:dyDescent="0.25">
      <c r="A417" s="527" t="s">
        <v>398</v>
      </c>
      <c r="B417" s="528"/>
      <c r="C417" s="293">
        <f>C418-C419</f>
        <v>4603036.1599999666</v>
      </c>
      <c r="D417" s="293">
        <f>D418-D419</f>
        <v>6546139.8299999237</v>
      </c>
    </row>
    <row r="418" spans="1:6" x14ac:dyDescent="0.25">
      <c r="A418" s="613" t="s">
        <v>399</v>
      </c>
      <c r="B418" s="614"/>
      <c r="C418" s="294">
        <f>'[1]Nota II.1.16b'!B95</f>
        <v>609039321.52999997</v>
      </c>
      <c r="D418" s="294">
        <f>'[1]Nota II.1.16b'!C95</f>
        <v>1503445297.71</v>
      </c>
    </row>
    <row r="419" spans="1:6" ht="25.5" customHeight="1" x14ac:dyDescent="0.25">
      <c r="A419" s="613" t="s">
        <v>400</v>
      </c>
      <c r="B419" s="614"/>
      <c r="C419" s="294">
        <f>'[1]Nota II.1.16b'!B96</f>
        <v>604436285.37</v>
      </c>
      <c r="D419" s="294">
        <f>'[1]Nota II.1.16b'!C96</f>
        <v>1496899157.8800001</v>
      </c>
    </row>
    <row r="420" spans="1:6" x14ac:dyDescent="0.25">
      <c r="A420" s="529" t="s">
        <v>401</v>
      </c>
      <c r="B420" s="530"/>
      <c r="C420" s="293">
        <f>'[1]Nota II.1.16b'!B97</f>
        <v>6875635.2199999997</v>
      </c>
      <c r="D420" s="293">
        <f>'[1]Nota II.1.16b'!C97</f>
        <v>8300975.79</v>
      </c>
    </row>
    <row r="421" spans="1:6" x14ac:dyDescent="0.25">
      <c r="A421" s="529" t="s">
        <v>402</v>
      </c>
      <c r="B421" s="530"/>
      <c r="C421" s="293">
        <f>'[1]Nota II.1.16b'!B98</f>
        <v>241006511.17000002</v>
      </c>
      <c r="D421" s="293">
        <f>'[1]Nota II.1.16b'!C98</f>
        <v>191247608.41</v>
      </c>
    </row>
    <row r="422" spans="1:6" x14ac:dyDescent="0.25">
      <c r="A422" s="529" t="s">
        <v>403</v>
      </c>
      <c r="B422" s="530"/>
      <c r="C422" s="293">
        <f>'[1]Nota II.1.16b'!B99</f>
        <v>22270</v>
      </c>
      <c r="D422" s="293">
        <f>'[1]Nota II.1.16b'!C99</f>
        <v>22270</v>
      </c>
    </row>
    <row r="423" spans="1:6" x14ac:dyDescent="0.25">
      <c r="A423" s="529" t="s">
        <v>404</v>
      </c>
      <c r="B423" s="530"/>
      <c r="C423" s="293">
        <f>'[1]Nota II.1.16b'!B100</f>
        <v>98084659.850000009</v>
      </c>
      <c r="D423" s="293">
        <f>'[1]Nota II.1.16b'!C100</f>
        <v>90387015.920000002</v>
      </c>
    </row>
    <row r="424" spans="1:6" ht="24.75" customHeight="1" thickBot="1" x14ac:dyDescent="0.3">
      <c r="A424" s="606" t="s">
        <v>405</v>
      </c>
      <c r="B424" s="607"/>
      <c r="C424" s="295">
        <f>'[1]Nota II.1.16b'!B101</f>
        <v>0</v>
      </c>
      <c r="D424" s="295">
        <f>'[1]Nota II.1.16b'!C101</f>
        <v>0</v>
      </c>
    </row>
    <row r="425" spans="1:6" ht="13.5" thickBot="1" x14ac:dyDescent="0.3">
      <c r="A425" s="608" t="s">
        <v>268</v>
      </c>
      <c r="B425" s="609"/>
      <c r="C425" s="197">
        <f>SUM(C413+C414+C415+C416+C424)</f>
        <v>419562592.35999995</v>
      </c>
      <c r="D425" s="197">
        <f>SUM(D413+D414+D415+D416+D424)</f>
        <v>424157799.30999994</v>
      </c>
    </row>
    <row r="428" spans="1:6" x14ac:dyDescent="0.2">
      <c r="A428" s="599"/>
      <c r="B428" s="600"/>
      <c r="C428" s="600"/>
      <c r="D428" s="610"/>
      <c r="E428" s="610"/>
      <c r="F428" s="108"/>
    </row>
    <row r="429" spans="1:6" x14ac:dyDescent="0.25">
      <c r="A429" s="290"/>
      <c r="B429" s="290"/>
      <c r="C429" s="290"/>
      <c r="D429" s="290"/>
      <c r="E429" s="108"/>
      <c r="F429" s="108"/>
    </row>
    <row r="430" spans="1:6" x14ac:dyDescent="0.25">
      <c r="A430" s="290"/>
      <c r="B430" s="290"/>
      <c r="C430" s="290"/>
      <c r="D430" s="290"/>
      <c r="E430" s="108"/>
      <c r="F430" s="108"/>
    </row>
    <row r="431" spans="1:6" x14ac:dyDescent="0.25">
      <c r="A431" s="290"/>
      <c r="B431" s="290"/>
      <c r="C431" s="290"/>
      <c r="D431" s="290"/>
      <c r="E431" s="108"/>
      <c r="F431" s="108"/>
    </row>
    <row r="432" spans="1:6" x14ac:dyDescent="0.25">
      <c r="A432" s="290"/>
      <c r="B432" s="290"/>
      <c r="C432" s="290"/>
      <c r="D432" s="290"/>
      <c r="E432" s="108"/>
      <c r="F432" s="108"/>
    </row>
    <row r="433" spans="1:6" ht="33.75" customHeight="1" x14ac:dyDescent="0.2">
      <c r="A433" s="107"/>
      <c r="B433" s="611"/>
      <c r="C433" s="611"/>
      <c r="D433" s="611"/>
      <c r="E433" s="611"/>
      <c r="F433" s="108"/>
    </row>
    <row r="434" spans="1:6" x14ac:dyDescent="0.2">
      <c r="A434" s="107"/>
      <c r="B434" s="107"/>
      <c r="C434" s="612"/>
      <c r="D434" s="612"/>
      <c r="E434" s="612"/>
      <c r="F434" s="108"/>
    </row>
    <row r="435" spans="1:6" x14ac:dyDescent="0.2">
      <c r="A435" s="107"/>
      <c r="B435" s="107"/>
      <c r="C435" s="107"/>
      <c r="D435" s="107"/>
      <c r="E435" s="107"/>
      <c r="F435" s="108"/>
    </row>
    <row r="436" spans="1:6" x14ac:dyDescent="0.2">
      <c r="A436" s="110"/>
      <c r="B436" s="296"/>
      <c r="C436" s="296"/>
      <c r="D436" s="296"/>
      <c r="E436" s="296"/>
      <c r="F436" s="108"/>
    </row>
    <row r="437" spans="1:6" x14ac:dyDescent="0.25">
      <c r="A437" s="297"/>
      <c r="B437" s="298"/>
      <c r="C437" s="298"/>
      <c r="D437" s="298"/>
      <c r="E437" s="298"/>
      <c r="F437" s="108"/>
    </row>
    <row r="438" spans="1:6" x14ac:dyDescent="0.25">
      <c r="A438" s="108"/>
      <c r="B438" s="108"/>
      <c r="C438" s="108"/>
      <c r="D438" s="108"/>
      <c r="E438" s="108"/>
      <c r="F438" s="108"/>
    </row>
    <row r="439" spans="1:6" x14ac:dyDescent="0.25">
      <c r="A439" s="108"/>
      <c r="B439" s="108"/>
      <c r="C439" s="108"/>
      <c r="D439" s="108"/>
      <c r="E439" s="108"/>
      <c r="F439" s="108"/>
    </row>
    <row r="440" spans="1:6" x14ac:dyDescent="0.25">
      <c r="A440" s="599"/>
      <c r="B440" s="600"/>
      <c r="C440" s="600"/>
      <c r="D440" s="601"/>
      <c r="E440" s="601"/>
      <c r="F440" s="602"/>
    </row>
    <row r="441" spans="1:6" x14ac:dyDescent="0.2">
      <c r="A441" s="68"/>
      <c r="B441" s="68"/>
      <c r="C441" s="68"/>
      <c r="D441" s="108"/>
      <c r="E441" s="108"/>
      <c r="F441" s="108"/>
    </row>
    <row r="442" spans="1:6" x14ac:dyDescent="0.25">
      <c r="A442" s="603"/>
      <c r="B442" s="603"/>
      <c r="C442" s="299"/>
      <c r="D442" s="108"/>
      <c r="E442" s="108"/>
      <c r="F442" s="108"/>
    </row>
    <row r="443" spans="1:6" ht="18.600000000000001" customHeight="1" x14ac:dyDescent="0.25">
      <c r="A443" s="604"/>
      <c r="B443" s="604"/>
      <c r="C443" s="300"/>
      <c r="D443" s="108"/>
      <c r="E443" s="108"/>
      <c r="F443" s="108"/>
    </row>
    <row r="444" spans="1:6" ht="18.600000000000001" customHeight="1" x14ac:dyDescent="0.25">
      <c r="A444" s="301"/>
      <c r="B444" s="301"/>
      <c r="C444" s="300"/>
      <c r="D444" s="108"/>
      <c r="E444" s="108"/>
      <c r="F444" s="108"/>
    </row>
    <row r="445" spans="1:6" x14ac:dyDescent="0.25">
      <c r="A445" s="287" t="s">
        <v>406</v>
      </c>
      <c r="B445" s="287"/>
      <c r="C445" s="287"/>
      <c r="D445" s="287"/>
    </row>
    <row r="447" spans="1:6" x14ac:dyDescent="0.25">
      <c r="A447" s="50" t="s">
        <v>407</v>
      </c>
    </row>
    <row r="450" spans="1:5" x14ac:dyDescent="0.25">
      <c r="A450" s="599" t="s">
        <v>408</v>
      </c>
      <c r="B450" s="599"/>
      <c r="C450" s="599"/>
      <c r="D450" s="580"/>
    </row>
    <row r="451" spans="1:5" ht="14.25" customHeight="1" x14ac:dyDescent="0.25">
      <c r="A451" s="605" t="s">
        <v>409</v>
      </c>
      <c r="B451" s="605"/>
      <c r="C451" s="605"/>
    </row>
    <row r="452" spans="1:5" x14ac:dyDescent="0.25">
      <c r="A452" s="302"/>
      <c r="B452" s="303"/>
      <c r="C452" s="303"/>
    </row>
    <row r="453" spans="1:5" x14ac:dyDescent="0.25">
      <c r="A453" s="50" t="s">
        <v>410</v>
      </c>
    </row>
    <row r="456" spans="1:5" x14ac:dyDescent="0.25">
      <c r="A456" s="304" t="s">
        <v>411</v>
      </c>
      <c r="B456" s="304"/>
      <c r="C456" s="304"/>
    </row>
    <row r="457" spans="1:5" ht="13.5" thickBot="1" x14ac:dyDescent="0.3">
      <c r="A457" s="177"/>
      <c r="B457" s="177"/>
      <c r="C457" s="177"/>
    </row>
    <row r="458" spans="1:5" ht="26.25" thickBot="1" x14ac:dyDescent="0.3">
      <c r="A458" s="453"/>
      <c r="B458" s="454"/>
      <c r="C458" s="455"/>
      <c r="D458" s="305" t="s">
        <v>412</v>
      </c>
      <c r="E458" s="192" t="s">
        <v>413</v>
      </c>
    </row>
    <row r="459" spans="1:5" ht="15.75" customHeight="1" thickBot="1" x14ac:dyDescent="0.3">
      <c r="A459" s="456" t="s">
        <v>414</v>
      </c>
      <c r="B459" s="457"/>
      <c r="C459" s="458"/>
      <c r="D459" s="306">
        <f>D460+D461</f>
        <v>361115649.59999996</v>
      </c>
      <c r="E459" s="307">
        <f>E460+E461</f>
        <v>297435682.89000005</v>
      </c>
    </row>
    <row r="460" spans="1:5" x14ac:dyDescent="0.25">
      <c r="A460" s="590" t="s">
        <v>415</v>
      </c>
      <c r="B460" s="591"/>
      <c r="C460" s="592"/>
      <c r="D460" s="308">
        <f>'[1]Nota II.2.3.'!D153</f>
        <v>0</v>
      </c>
      <c r="E460" s="309">
        <f>'[1]Nota II.2.3.'!H153</f>
        <v>0</v>
      </c>
    </row>
    <row r="461" spans="1:5" x14ac:dyDescent="0.25">
      <c r="A461" s="584" t="s">
        <v>416</v>
      </c>
      <c r="B461" s="585"/>
      <c r="C461" s="586"/>
      <c r="D461" s="310">
        <f>SUM(D462:D464)</f>
        <v>361115649.59999996</v>
      </c>
      <c r="E461" s="311">
        <f>SUM(E462:E464)</f>
        <v>297435682.89000005</v>
      </c>
    </row>
    <row r="462" spans="1:5" ht="25.5" customHeight="1" x14ac:dyDescent="0.25">
      <c r="A462" s="593" t="s">
        <v>417</v>
      </c>
      <c r="B462" s="594"/>
      <c r="C462" s="595"/>
      <c r="D462" s="312">
        <f>'[1]Nota II.2.3.'!D232+'[1]Nota II.2.3.'!D234</f>
        <v>7805949.8700000001</v>
      </c>
      <c r="E462" s="312">
        <f>'[1]Nota II.2.3.'!H232</f>
        <v>539642.04</v>
      </c>
    </row>
    <row r="463" spans="1:5" ht="27.75" customHeight="1" x14ac:dyDescent="0.25">
      <c r="A463" s="587" t="s">
        <v>418</v>
      </c>
      <c r="B463" s="588"/>
      <c r="C463" s="589"/>
      <c r="D463" s="310">
        <f>'[1]Nota II.2.3.'!D235</f>
        <v>352504561.51999998</v>
      </c>
      <c r="E463" s="312">
        <f>'[1]Nota II.2.3.'!H235</f>
        <v>296896040.85000002</v>
      </c>
    </row>
    <row r="464" spans="1:5" ht="15.75" customHeight="1" thickBot="1" x14ac:dyDescent="0.3">
      <c r="A464" s="596" t="s">
        <v>419</v>
      </c>
      <c r="B464" s="597"/>
      <c r="C464" s="598"/>
      <c r="D464" s="313">
        <f>'[1]Nota II.2.3.'!D236</f>
        <v>805138.21</v>
      </c>
      <c r="E464" s="314">
        <f>'[1]Nota II.2.3.'!H236</f>
        <v>0</v>
      </c>
    </row>
    <row r="465" spans="1:9" ht="15.75" customHeight="1" thickBot="1" x14ac:dyDescent="0.3">
      <c r="A465" s="456" t="s">
        <v>420</v>
      </c>
      <c r="B465" s="457"/>
      <c r="C465" s="458"/>
      <c r="D465" s="306">
        <f>D466+D467</f>
        <v>155395057.38</v>
      </c>
      <c r="E465" s="307">
        <f>E466+E467</f>
        <v>97327337.589999989</v>
      </c>
    </row>
    <row r="466" spans="1:9" x14ac:dyDescent="0.25">
      <c r="A466" s="581" t="s">
        <v>415</v>
      </c>
      <c r="B466" s="582"/>
      <c r="C466" s="583"/>
      <c r="D466" s="310">
        <f>'[1]Nota II.2.3.'!D167</f>
        <v>0</v>
      </c>
      <c r="E466" s="311">
        <f>'[1]Nota II.2.3.'!H167</f>
        <v>0</v>
      </c>
    </row>
    <row r="467" spans="1:9" x14ac:dyDescent="0.25">
      <c r="A467" s="584" t="s">
        <v>416</v>
      </c>
      <c r="B467" s="585"/>
      <c r="C467" s="586"/>
      <c r="D467" s="315">
        <f>SUM(D468:D470)</f>
        <v>155395057.38</v>
      </c>
      <c r="E467" s="315">
        <f>SUM(E468:E470)</f>
        <v>97327337.589999989</v>
      </c>
    </row>
    <row r="468" spans="1:9" x14ac:dyDescent="0.25">
      <c r="A468" s="587" t="s">
        <v>421</v>
      </c>
      <c r="B468" s="588"/>
      <c r="C468" s="589"/>
      <c r="D468" s="316">
        <f>'[1]Nota II.2.3.'!D247</f>
        <v>135876104.63999999</v>
      </c>
      <c r="E468" s="317">
        <f>'[1]Nota II.2.3.'!H247</f>
        <v>95650056.389999986</v>
      </c>
    </row>
    <row r="469" spans="1:9" x14ac:dyDescent="0.25">
      <c r="A469" s="587" t="s">
        <v>422</v>
      </c>
      <c r="B469" s="588"/>
      <c r="C469" s="589"/>
      <c r="D469" s="316">
        <f>'[1]Nota II.2.3.'!D246</f>
        <v>18715197.719999999</v>
      </c>
      <c r="E469" s="317">
        <f>'[1]Nota II.2.3.'!H246</f>
        <v>1677281.2</v>
      </c>
    </row>
    <row r="470" spans="1:9" ht="15.75" customHeight="1" thickBot="1" x14ac:dyDescent="0.3">
      <c r="A470" s="447" t="s">
        <v>423</v>
      </c>
      <c r="B470" s="448"/>
      <c r="C470" s="449"/>
      <c r="D470" s="318">
        <f>'[1]Nota II.2.3.'!D248</f>
        <v>803755.02</v>
      </c>
      <c r="E470" s="319">
        <f>'[1]Nota II.2.3.'!H248</f>
        <v>0</v>
      </c>
    </row>
    <row r="471" spans="1:9" x14ac:dyDescent="0.25">
      <c r="A471" s="304"/>
      <c r="B471" s="304"/>
      <c r="C471" s="304"/>
    </row>
    <row r="472" spans="1:9" x14ac:dyDescent="0.25">
      <c r="A472" s="304"/>
      <c r="B472" s="304"/>
      <c r="C472" s="304"/>
    </row>
    <row r="473" spans="1:9" ht="43.5" customHeight="1" x14ac:dyDescent="0.25">
      <c r="A473" s="431" t="s">
        <v>424</v>
      </c>
      <c r="B473" s="431"/>
      <c r="C473" s="431"/>
      <c r="D473" s="431"/>
      <c r="E473" s="580"/>
      <c r="F473" s="580"/>
      <c r="G473" s="580"/>
      <c r="H473" s="580"/>
      <c r="I473" s="580"/>
    </row>
    <row r="474" spans="1:9" x14ac:dyDescent="0.25">
      <c r="A474" s="155"/>
      <c r="B474" s="155"/>
      <c r="C474" s="155"/>
      <c r="D474" s="155"/>
      <c r="E474" s="53"/>
      <c r="F474" s="53"/>
      <c r="G474" s="53"/>
      <c r="H474" s="53"/>
      <c r="I474" s="53"/>
    </row>
    <row r="475" spans="1:9" x14ac:dyDescent="0.25">
      <c r="A475" s="320" t="s">
        <v>425</v>
      </c>
      <c r="B475" s="304"/>
      <c r="C475" s="304"/>
    </row>
    <row r="476" spans="1:9" x14ac:dyDescent="0.25">
      <c r="A476" s="304"/>
      <c r="B476" s="304"/>
      <c r="C476" s="304"/>
    </row>
    <row r="477" spans="1:9" x14ac:dyDescent="0.25">
      <c r="A477" s="304"/>
      <c r="B477" s="304"/>
      <c r="C477" s="304"/>
    </row>
    <row r="478" spans="1:9" x14ac:dyDescent="0.25">
      <c r="A478" s="304" t="s">
        <v>426</v>
      </c>
      <c r="B478" s="304"/>
      <c r="C478" s="304"/>
    </row>
    <row r="479" spans="1:9" x14ac:dyDescent="0.25">
      <c r="A479" s="471" t="s">
        <v>427</v>
      </c>
      <c r="B479" s="471"/>
      <c r="C479" s="471"/>
    </row>
    <row r="480" spans="1:9" ht="13.5" thickBot="1" x14ac:dyDescent="0.3">
      <c r="A480" s="304"/>
      <c r="B480" s="304"/>
      <c r="C480" s="304"/>
    </row>
    <row r="481" spans="1:8" ht="26.25" thickBot="1" x14ac:dyDescent="0.3">
      <c r="A481" s="453" t="s">
        <v>428</v>
      </c>
      <c r="B481" s="454"/>
      <c r="C481" s="454"/>
      <c r="D481" s="455"/>
      <c r="E481" s="321" t="s">
        <v>412</v>
      </c>
      <c r="F481" s="192" t="s">
        <v>413</v>
      </c>
      <c r="G481" s="322"/>
    </row>
    <row r="482" spans="1:8" ht="14.25" customHeight="1" thickBot="1" x14ac:dyDescent="0.3">
      <c r="A482" s="456" t="s">
        <v>429</v>
      </c>
      <c r="B482" s="457"/>
      <c r="C482" s="457"/>
      <c r="D482" s="458"/>
      <c r="E482" s="307">
        <f>SUM(E483:E490)</f>
        <v>409046869.35000002</v>
      </c>
      <c r="F482" s="307">
        <f>SUM(F483:F490)</f>
        <v>471117107.39999998</v>
      </c>
      <c r="G482" s="323"/>
      <c r="H482" s="323"/>
    </row>
    <row r="483" spans="1:8" x14ac:dyDescent="0.25">
      <c r="A483" s="571" t="s">
        <v>430</v>
      </c>
      <c r="B483" s="572"/>
      <c r="C483" s="572"/>
      <c r="D483" s="573"/>
      <c r="E483" s="311">
        <f>'[1]Nota II.2.5a'!C190</f>
        <v>116579776.05</v>
      </c>
      <c r="F483" s="311">
        <f>'[1]Nota II.2.5a'!D190</f>
        <v>128029199.40000001</v>
      </c>
      <c r="G483" s="159"/>
    </row>
    <row r="484" spans="1:8" x14ac:dyDescent="0.25">
      <c r="A484" s="562" t="s">
        <v>431</v>
      </c>
      <c r="B484" s="563"/>
      <c r="C484" s="563"/>
      <c r="D484" s="564"/>
      <c r="E484" s="311">
        <f>'[1]Nota II.2.5a'!C191</f>
        <v>250337338.49000001</v>
      </c>
      <c r="F484" s="311">
        <f>'[1]Nota II.2.5a'!D191</f>
        <v>283410952.06999999</v>
      </c>
      <c r="G484" s="159"/>
    </row>
    <row r="485" spans="1:8" x14ac:dyDescent="0.25">
      <c r="A485" s="562" t="s">
        <v>432</v>
      </c>
      <c r="B485" s="563"/>
      <c r="C485" s="563"/>
      <c r="D485" s="564"/>
      <c r="E485" s="311">
        <f>'[1]Nota II.2.5a'!C192</f>
        <v>22631088.600000001</v>
      </c>
      <c r="F485" s="311">
        <f>'[1]Nota II.2.5a'!D192</f>
        <v>20913392.280000001</v>
      </c>
      <c r="G485" s="159"/>
    </row>
    <row r="486" spans="1:8" hidden="1" x14ac:dyDescent="0.25">
      <c r="A486" s="574" t="s">
        <v>433</v>
      </c>
      <c r="B486" s="575"/>
      <c r="C486" s="575"/>
      <c r="D486" s="576"/>
      <c r="E486" s="311">
        <f>'[1]Nota II.2.5a'!C193</f>
        <v>0</v>
      </c>
      <c r="F486" s="311">
        <f>'[1]Nota II.2.5a'!D193</f>
        <v>0</v>
      </c>
      <c r="G486" s="159"/>
    </row>
    <row r="487" spans="1:8" x14ac:dyDescent="0.25">
      <c r="A487" s="562" t="s">
        <v>434</v>
      </c>
      <c r="B487" s="563"/>
      <c r="C487" s="563"/>
      <c r="D487" s="564"/>
      <c r="E487" s="311">
        <f>'[1]Nota II.2.5a'!C194</f>
        <v>7367411.0999999996</v>
      </c>
      <c r="F487" s="311">
        <f>'[1]Nota II.2.5a'!D194</f>
        <v>9778100.2699999996</v>
      </c>
      <c r="G487" s="159"/>
    </row>
    <row r="488" spans="1:8" hidden="1" x14ac:dyDescent="0.25">
      <c r="A488" s="565" t="s">
        <v>435</v>
      </c>
      <c r="B488" s="566"/>
      <c r="C488" s="566"/>
      <c r="D488" s="567"/>
      <c r="E488" s="311">
        <f>'[1]Nota II.2.5a'!C195</f>
        <v>0</v>
      </c>
      <c r="F488" s="311">
        <f>'[1]Nota II.2.5a'!D195</f>
        <v>0</v>
      </c>
      <c r="G488" s="159"/>
    </row>
    <row r="489" spans="1:8" x14ac:dyDescent="0.25">
      <c r="A489" s="565" t="s">
        <v>436</v>
      </c>
      <c r="B489" s="566"/>
      <c r="C489" s="566"/>
      <c r="D489" s="567"/>
      <c r="E489" s="311">
        <f>'[1]Nota II.2.5a'!C196</f>
        <v>3183782.65</v>
      </c>
      <c r="F489" s="311">
        <f>'[1]Nota II.2.5a'!D196</f>
        <v>1990443.87</v>
      </c>
      <c r="G489" s="159"/>
    </row>
    <row r="490" spans="1:8" ht="13.5" thickBot="1" x14ac:dyDescent="0.3">
      <c r="A490" s="577" t="s">
        <v>437</v>
      </c>
      <c r="B490" s="578"/>
      <c r="C490" s="578"/>
      <c r="D490" s="579"/>
      <c r="E490" s="311">
        <f>'[1]Nota II.2.5a'!C197</f>
        <v>8947472.4600000009</v>
      </c>
      <c r="F490" s="311">
        <f>'[1]Nota II.2.5a'!D197</f>
        <v>26995019.510000002</v>
      </c>
      <c r="G490" s="159"/>
    </row>
    <row r="491" spans="1:8" ht="13.5" thickBot="1" x14ac:dyDescent="0.3">
      <c r="A491" s="456" t="s">
        <v>438</v>
      </c>
      <c r="B491" s="457"/>
      <c r="C491" s="457"/>
      <c r="D491" s="458"/>
      <c r="E491" s="324">
        <f>'[1]Nota II.2.5a'!C198</f>
        <v>27303.040000000001</v>
      </c>
      <c r="F491" s="324">
        <f>'[1]Nota II.2.5a'!D198</f>
        <v>31679.439999999999</v>
      </c>
      <c r="G491" s="325"/>
      <c r="H491" s="325"/>
    </row>
    <row r="492" spans="1:8" ht="13.5" thickBot="1" x14ac:dyDescent="0.3">
      <c r="A492" s="506" t="s">
        <v>439</v>
      </c>
      <c r="B492" s="507"/>
      <c r="C492" s="507"/>
      <c r="D492" s="508"/>
      <c r="E492" s="324">
        <f>'[1]Nota II.2.5a'!C199</f>
        <v>0</v>
      </c>
      <c r="F492" s="324">
        <f>'[1]Nota II.2.5a'!D199</f>
        <v>0</v>
      </c>
      <c r="G492" s="325"/>
    </row>
    <row r="493" spans="1:8" ht="13.5" thickBot="1" x14ac:dyDescent="0.3">
      <c r="A493" s="506" t="s">
        <v>440</v>
      </c>
      <c r="B493" s="507"/>
      <c r="C493" s="507"/>
      <c r="D493" s="508"/>
      <c r="E493" s="324">
        <f>'[1]Nota II.2.5a'!C200</f>
        <v>805138.21</v>
      </c>
      <c r="F493" s="324">
        <f>'[1]Nota II.2.5a'!D200</f>
        <v>0</v>
      </c>
      <c r="G493" s="325"/>
    </row>
    <row r="494" spans="1:8" ht="13.5" thickBot="1" x14ac:dyDescent="0.3">
      <c r="A494" s="568" t="s">
        <v>441</v>
      </c>
      <c r="B494" s="569"/>
      <c r="C494" s="569"/>
      <c r="D494" s="570"/>
      <c r="E494" s="324">
        <f>'[1]Nota II.2.5a'!C201</f>
        <v>0</v>
      </c>
      <c r="F494" s="324">
        <f>'[1]Nota II.2.5a'!D201</f>
        <v>0</v>
      </c>
      <c r="G494" s="325"/>
    </row>
    <row r="495" spans="1:8" ht="13.5" thickBot="1" x14ac:dyDescent="0.3">
      <c r="A495" s="568" t="s">
        <v>442</v>
      </c>
      <c r="B495" s="569"/>
      <c r="C495" s="569"/>
      <c r="D495" s="570"/>
      <c r="E495" s="307">
        <f>E496+E504+E507+E510</f>
        <v>18071235818.380001</v>
      </c>
      <c r="F495" s="307">
        <f>SUM(F496+F504+F507+F510)</f>
        <v>24750584036.669998</v>
      </c>
      <c r="G495" s="323"/>
      <c r="H495" s="323"/>
    </row>
    <row r="496" spans="1:8" x14ac:dyDescent="0.25">
      <c r="A496" s="571" t="s">
        <v>443</v>
      </c>
      <c r="B496" s="572"/>
      <c r="C496" s="572"/>
      <c r="D496" s="573"/>
      <c r="E496" s="326">
        <f>SUM(E497:E503)</f>
        <v>2782420794.8600001</v>
      </c>
      <c r="F496" s="326">
        <f>SUM(F497:F503)</f>
        <v>2787109379.2800002</v>
      </c>
      <c r="G496" s="327"/>
    </row>
    <row r="497" spans="1:7" x14ac:dyDescent="0.25">
      <c r="A497" s="550" t="s">
        <v>444</v>
      </c>
      <c r="B497" s="551"/>
      <c r="C497" s="551"/>
      <c r="D497" s="552"/>
      <c r="E497" s="312">
        <f>'[1]Nota II.2.5a'!C204</f>
        <v>1603614910.26</v>
      </c>
      <c r="F497" s="312">
        <f>'[1]Nota II.2.5a'!D204</f>
        <v>1710849851.6300001</v>
      </c>
      <c r="G497" s="328"/>
    </row>
    <row r="498" spans="1:7" x14ac:dyDescent="0.25">
      <c r="A498" s="550" t="s">
        <v>445</v>
      </c>
      <c r="B498" s="551"/>
      <c r="C498" s="551"/>
      <c r="D498" s="552"/>
      <c r="E498" s="312">
        <f>'[1]Nota II.2.5a'!C205</f>
        <v>25073602.600000001</v>
      </c>
      <c r="F498" s="312">
        <f>'[1]Nota II.2.5a'!D205</f>
        <v>52511367.299999997</v>
      </c>
      <c r="G498" s="328"/>
    </row>
    <row r="499" spans="1:7" x14ac:dyDescent="0.25">
      <c r="A499" s="550" t="s">
        <v>446</v>
      </c>
      <c r="B499" s="551"/>
      <c r="C499" s="551"/>
      <c r="D499" s="552"/>
      <c r="E499" s="312">
        <f>'[1]Nota II.2.5a'!C206</f>
        <v>817996894.76999998</v>
      </c>
      <c r="F499" s="312">
        <f>'[1]Nota II.2.5a'!D206</f>
        <v>688441162.32000005</v>
      </c>
      <c r="G499" s="328"/>
    </row>
    <row r="500" spans="1:7" x14ac:dyDescent="0.25">
      <c r="A500" s="550" t="s">
        <v>447</v>
      </c>
      <c r="B500" s="551"/>
      <c r="C500" s="551"/>
      <c r="D500" s="552"/>
      <c r="E500" s="312">
        <f>'[1]Nota II.2.5a'!C207</f>
        <v>1823173</v>
      </c>
      <c r="F500" s="312">
        <f>'[1]Nota II.2.5a'!D207</f>
        <v>1679830.59</v>
      </c>
      <c r="G500" s="328"/>
    </row>
    <row r="501" spans="1:7" hidden="1" x14ac:dyDescent="0.25">
      <c r="A501" s="550" t="s">
        <v>448</v>
      </c>
      <c r="B501" s="551"/>
      <c r="C501" s="551"/>
      <c r="D501" s="552"/>
      <c r="E501" s="312">
        <f>'[1]Nota II.2.5a'!C208</f>
        <v>3409.8</v>
      </c>
      <c r="F501" s="312">
        <f>'[1]Nota II.2.5a'!D208</f>
        <v>1264.5899999999999</v>
      </c>
      <c r="G501" s="328"/>
    </row>
    <row r="502" spans="1:7" x14ac:dyDescent="0.25">
      <c r="A502" s="550" t="s">
        <v>449</v>
      </c>
      <c r="B502" s="551"/>
      <c r="C502" s="551"/>
      <c r="D502" s="552"/>
      <c r="E502" s="312">
        <f>'[1]Nota II.2.5a'!C209</f>
        <v>138787132.69999999</v>
      </c>
      <c r="F502" s="312">
        <f>'[1]Nota II.2.5a'!D209</f>
        <v>145550502.83000001</v>
      </c>
      <c r="G502" s="328"/>
    </row>
    <row r="503" spans="1:7" x14ac:dyDescent="0.25">
      <c r="A503" s="550" t="s">
        <v>404</v>
      </c>
      <c r="B503" s="551"/>
      <c r="C503" s="551"/>
      <c r="D503" s="552"/>
      <c r="E503" s="312">
        <f>'[1]Nota II.2.5a'!C210</f>
        <v>195121671.73000002</v>
      </c>
      <c r="F503" s="312">
        <f>'[1]Nota II.2.5a'!D210</f>
        <v>188075400.02000001</v>
      </c>
      <c r="G503" s="328"/>
    </row>
    <row r="504" spans="1:7" x14ac:dyDescent="0.25">
      <c r="A504" s="565" t="s">
        <v>450</v>
      </c>
      <c r="B504" s="566"/>
      <c r="C504" s="566"/>
      <c r="D504" s="567"/>
      <c r="E504" s="329">
        <f>SUM(E505:E506)</f>
        <v>7716764735</v>
      </c>
      <c r="F504" s="329">
        <f>SUM(F505:F506)</f>
        <v>12141790104</v>
      </c>
      <c r="G504" s="327"/>
    </row>
    <row r="505" spans="1:7" x14ac:dyDescent="0.25">
      <c r="A505" s="550" t="s">
        <v>451</v>
      </c>
      <c r="B505" s="551"/>
      <c r="C505" s="551"/>
      <c r="D505" s="552"/>
      <c r="E505" s="312">
        <f>'[1]Nota II.2.5a'!C212</f>
        <v>5798725656</v>
      </c>
      <c r="F505" s="312">
        <f>'[1]Nota II.2.5a'!D212</f>
        <v>9546707688</v>
      </c>
      <c r="G505" s="328"/>
    </row>
    <row r="506" spans="1:7" x14ac:dyDescent="0.25">
      <c r="A506" s="550" t="s">
        <v>452</v>
      </c>
      <c r="B506" s="551"/>
      <c r="C506" s="551"/>
      <c r="D506" s="552"/>
      <c r="E506" s="312">
        <f>'[1]Nota II.2.5a'!C213</f>
        <v>1918039079</v>
      </c>
      <c r="F506" s="312">
        <f>'[1]Nota II.2.5a'!D213</f>
        <v>2595082416</v>
      </c>
      <c r="G506" s="328"/>
    </row>
    <row r="507" spans="1:7" x14ac:dyDescent="0.25">
      <c r="A507" s="562" t="s">
        <v>453</v>
      </c>
      <c r="B507" s="563"/>
      <c r="C507" s="563"/>
      <c r="D507" s="564"/>
      <c r="E507" s="329">
        <f>SUM(E508:E509)</f>
        <v>5131438752.46</v>
      </c>
      <c r="F507" s="329">
        <f>SUM(F508:F509)</f>
        <v>7158939905.54</v>
      </c>
      <c r="G507" s="327"/>
    </row>
    <row r="508" spans="1:7" x14ac:dyDescent="0.25">
      <c r="A508" s="550" t="s">
        <v>454</v>
      </c>
      <c r="B508" s="551"/>
      <c r="C508" s="551"/>
      <c r="D508" s="552"/>
      <c r="E508" s="312">
        <f>'[1]Nota II.2.5a'!C215</f>
        <v>1423513309.01</v>
      </c>
      <c r="F508" s="312">
        <f>'[1]Nota II.2.5a'!D215</f>
        <v>1893023189.54</v>
      </c>
      <c r="G508" s="328"/>
    </row>
    <row r="509" spans="1:7" x14ac:dyDescent="0.25">
      <c r="A509" s="550" t="s">
        <v>455</v>
      </c>
      <c r="B509" s="551"/>
      <c r="C509" s="551"/>
      <c r="D509" s="552"/>
      <c r="E509" s="312">
        <f>'[1]Nota II.2.5a'!C216</f>
        <v>3707925443.4499998</v>
      </c>
      <c r="F509" s="312">
        <f>'[1]Nota II.2.5a'!D216</f>
        <v>5265916716</v>
      </c>
      <c r="G509" s="328"/>
    </row>
    <row r="510" spans="1:7" x14ac:dyDescent="0.25">
      <c r="A510" s="562" t="s">
        <v>456</v>
      </c>
      <c r="B510" s="563"/>
      <c r="C510" s="563"/>
      <c r="D510" s="564"/>
      <c r="E510" s="329">
        <f>SUM(E511:E530)</f>
        <v>2440611536.0599999</v>
      </c>
      <c r="F510" s="329">
        <f>SUM(F511:F530)</f>
        <v>2662744647.8500004</v>
      </c>
      <c r="G510" s="327"/>
    </row>
    <row r="511" spans="1:7" x14ac:dyDescent="0.25">
      <c r="A511" s="550" t="s">
        <v>457</v>
      </c>
      <c r="B511" s="551"/>
      <c r="C511" s="551"/>
      <c r="D511" s="552"/>
      <c r="E511" s="312">
        <f>'[1]Nota II.2.5a'!C218</f>
        <v>136193267.38</v>
      </c>
      <c r="F511" s="312">
        <f>'[1]Nota II.2.5a'!D218</f>
        <v>139069042.31999999</v>
      </c>
      <c r="G511" s="159"/>
    </row>
    <row r="512" spans="1:7" hidden="1" x14ac:dyDescent="0.25">
      <c r="A512" s="550" t="s">
        <v>458</v>
      </c>
      <c r="B512" s="551"/>
      <c r="C512" s="551"/>
      <c r="D512" s="552"/>
      <c r="E512" s="312">
        <f>'[1]Nota II.2.5a'!C219</f>
        <v>807327.21</v>
      </c>
      <c r="F512" s="312">
        <f>'[1]Nota II.2.5a'!D219</f>
        <v>-351732.14</v>
      </c>
      <c r="G512" s="159"/>
    </row>
    <row r="513" spans="1:7" x14ac:dyDescent="0.25">
      <c r="A513" s="550" t="s">
        <v>459</v>
      </c>
      <c r="B513" s="551"/>
      <c r="C513" s="551"/>
      <c r="D513" s="552"/>
      <c r="E513" s="312">
        <f>'[1]Nota II.2.5a'!C220</f>
        <v>0</v>
      </c>
      <c r="F513" s="312">
        <f>'[1]Nota II.2.5a'!D220</f>
        <v>0</v>
      </c>
      <c r="G513" s="159"/>
    </row>
    <row r="514" spans="1:7" hidden="1" x14ac:dyDescent="0.25">
      <c r="A514" s="550" t="s">
        <v>460</v>
      </c>
      <c r="B514" s="551"/>
      <c r="C514" s="551"/>
      <c r="D514" s="552"/>
      <c r="E514" s="312">
        <f>'[1]Nota II.2.5a'!C221</f>
        <v>0</v>
      </c>
      <c r="F514" s="312">
        <f>'[1]Nota II.2.5a'!D221</f>
        <v>8207.33</v>
      </c>
      <c r="G514" s="159"/>
    </row>
    <row r="515" spans="1:7" x14ac:dyDescent="0.25">
      <c r="A515" s="550" t="s">
        <v>461</v>
      </c>
      <c r="B515" s="551"/>
      <c r="C515" s="551"/>
      <c r="D515" s="552"/>
      <c r="E515" s="312">
        <f>'[1]Nota II.2.5a'!C222</f>
        <v>18457502.84</v>
      </c>
      <c r="F515" s="312">
        <f>'[1]Nota II.2.5a'!D222</f>
        <v>16924610.059999999</v>
      </c>
      <c r="G515" s="159"/>
    </row>
    <row r="516" spans="1:7" x14ac:dyDescent="0.25">
      <c r="A516" s="550" t="s">
        <v>462</v>
      </c>
      <c r="B516" s="551"/>
      <c r="C516" s="551"/>
      <c r="D516" s="552"/>
      <c r="E516" s="312">
        <f>'[1]Nota II.2.5a'!C223</f>
        <v>4873606.43</v>
      </c>
      <c r="F516" s="312">
        <f>'[1]Nota II.2.5a'!D223</f>
        <v>9217936.5700000003</v>
      </c>
      <c r="G516" s="159"/>
    </row>
    <row r="517" spans="1:7" x14ac:dyDescent="0.25">
      <c r="A517" s="550" t="s">
        <v>463</v>
      </c>
      <c r="B517" s="551"/>
      <c r="C517" s="551"/>
      <c r="D517" s="552"/>
      <c r="E517" s="312">
        <f>'[1]Nota II.2.5a'!C224</f>
        <v>144742952.69999999</v>
      </c>
      <c r="F517" s="312">
        <f>'[1]Nota II.2.5a'!D224</f>
        <v>166045266.66</v>
      </c>
      <c r="G517" s="159"/>
    </row>
    <row r="518" spans="1:7" x14ac:dyDescent="0.25">
      <c r="A518" s="550" t="s">
        <v>464</v>
      </c>
      <c r="B518" s="551"/>
      <c r="C518" s="551"/>
      <c r="D518" s="552"/>
      <c r="E518" s="312">
        <f>'[1]Nota II.2.5a'!C225</f>
        <v>74229939.040000007</v>
      </c>
      <c r="F518" s="312">
        <f>'[1]Nota II.2.5a'!D225</f>
        <v>80729679.879999995</v>
      </c>
      <c r="G518" s="159"/>
    </row>
    <row r="519" spans="1:7" s="156" customFormat="1" x14ac:dyDescent="0.25">
      <c r="A519" s="330"/>
      <c r="B519" s="330"/>
      <c r="C519" s="330"/>
      <c r="D519" s="330"/>
      <c r="E519" s="331"/>
      <c r="F519" s="331"/>
      <c r="G519" s="159"/>
    </row>
    <row r="520" spans="1:7" s="156" customFormat="1" x14ac:dyDescent="0.25">
      <c r="A520" s="330"/>
      <c r="B520" s="330"/>
      <c r="C520" s="330"/>
      <c r="D520" s="330"/>
      <c r="E520" s="331"/>
      <c r="F520" s="331"/>
      <c r="G520" s="159"/>
    </row>
    <row r="521" spans="1:7" s="156" customFormat="1" x14ac:dyDescent="0.25">
      <c r="A521" s="330"/>
      <c r="B521" s="330"/>
      <c r="C521" s="330"/>
      <c r="D521" s="330"/>
      <c r="E521" s="331"/>
      <c r="F521" s="331"/>
      <c r="G521" s="159"/>
    </row>
    <row r="522" spans="1:7" s="156" customFormat="1" x14ac:dyDescent="0.25">
      <c r="A522" s="471" t="s">
        <v>465</v>
      </c>
      <c r="B522" s="471"/>
      <c r="C522" s="471"/>
      <c r="D522" s="330"/>
      <c r="E522" s="331"/>
      <c r="F522" s="331"/>
      <c r="G522" s="159"/>
    </row>
    <row r="523" spans="1:7" s="156" customFormat="1" ht="13.5" thickBot="1" x14ac:dyDescent="0.3">
      <c r="A523" s="304"/>
      <c r="B523" s="304"/>
      <c r="C523" s="304"/>
      <c r="D523" s="330"/>
      <c r="E523" s="331"/>
      <c r="F523" s="331"/>
      <c r="G523" s="159"/>
    </row>
    <row r="524" spans="1:7" ht="26.25" thickBot="1" x14ac:dyDescent="0.3">
      <c r="A524" s="453"/>
      <c r="B524" s="454"/>
      <c r="C524" s="454"/>
      <c r="D524" s="455"/>
      <c r="E524" s="192" t="s">
        <v>412</v>
      </c>
      <c r="F524" s="192" t="s">
        <v>413</v>
      </c>
      <c r="G524" s="159"/>
    </row>
    <row r="525" spans="1:7" x14ac:dyDescent="0.25">
      <c r="A525" s="550" t="s">
        <v>466</v>
      </c>
      <c r="B525" s="551"/>
      <c r="C525" s="551"/>
      <c r="D525" s="552"/>
      <c r="E525" s="312">
        <f>'[1]Nota II.2.5a'!C226</f>
        <v>49911192.299999997</v>
      </c>
      <c r="F525" s="312">
        <f>'[1]Nota II.2.5a'!D226</f>
        <v>57064792.18</v>
      </c>
      <c r="G525" s="159"/>
    </row>
    <row r="526" spans="1:7" x14ac:dyDescent="0.25">
      <c r="A526" s="553" t="s">
        <v>467</v>
      </c>
      <c r="B526" s="554"/>
      <c r="C526" s="554"/>
      <c r="D526" s="555"/>
      <c r="E526" s="312">
        <f>'[1]Nota II.2.5a'!C227</f>
        <v>22778856.48</v>
      </c>
      <c r="F526" s="312">
        <f>'[1]Nota II.2.5a'!D227</f>
        <v>22340780.52</v>
      </c>
      <c r="G526" s="159"/>
    </row>
    <row r="527" spans="1:7" hidden="1" x14ac:dyDescent="0.25">
      <c r="A527" s="553" t="s">
        <v>468</v>
      </c>
      <c r="B527" s="554"/>
      <c r="C527" s="554"/>
      <c r="D527" s="555"/>
      <c r="E527" s="312">
        <f>'[1]Nota II.2.5a'!C228</f>
        <v>0</v>
      </c>
      <c r="F527" s="312">
        <f>'[1]Nota II.2.5a'!D228</f>
        <v>0</v>
      </c>
      <c r="G527" s="159"/>
    </row>
    <row r="528" spans="1:7" x14ac:dyDescent="0.25">
      <c r="A528" s="553" t="s">
        <v>469</v>
      </c>
      <c r="B528" s="554"/>
      <c r="C528" s="554"/>
      <c r="D528" s="555"/>
      <c r="E528" s="312">
        <f>'[1]Nota II.2.5a'!C229</f>
        <v>8196312.1500000004</v>
      </c>
      <c r="F528" s="312">
        <f>'[1]Nota II.2.5a'!D229</f>
        <v>9037015.6799999997</v>
      </c>
      <c r="G528" s="159"/>
    </row>
    <row r="529" spans="1:8" x14ac:dyDescent="0.25">
      <c r="A529" s="556" t="s">
        <v>470</v>
      </c>
      <c r="B529" s="557"/>
      <c r="C529" s="557"/>
      <c r="D529" s="558"/>
      <c r="E529" s="312">
        <f>'[1]Nota II.2.5a'!C230</f>
        <v>1178886871.1199999</v>
      </c>
      <c r="F529" s="312">
        <f>'[1]Nota II.2.5a'!D230</f>
        <v>1061455121.33</v>
      </c>
      <c r="G529" s="159"/>
    </row>
    <row r="530" spans="1:8" ht="13.5" thickBot="1" x14ac:dyDescent="0.3">
      <c r="A530" s="559" t="s">
        <v>471</v>
      </c>
      <c r="B530" s="560"/>
      <c r="C530" s="560"/>
      <c r="D530" s="561"/>
      <c r="E530" s="312">
        <f>'[1]Nota II.2.5a'!C231</f>
        <v>801533708.40999997</v>
      </c>
      <c r="F530" s="312">
        <f>'[1]Nota II.2.5a'!D231</f>
        <v>1101203927.46</v>
      </c>
      <c r="G530" s="159"/>
    </row>
    <row r="531" spans="1:8" ht="13.5" thickBot="1" x14ac:dyDescent="0.3">
      <c r="A531" s="539" t="s">
        <v>472</v>
      </c>
      <c r="B531" s="540"/>
      <c r="C531" s="540"/>
      <c r="D531" s="541"/>
      <c r="E531" s="224">
        <f>SUM(E482+E491+E492+E493+E494+E495)</f>
        <v>18481115128.98</v>
      </c>
      <c r="F531" s="224">
        <f>SUM(F482+F491+F492+F493+F494+F495)</f>
        <v>25221732823.509998</v>
      </c>
      <c r="G531" s="323"/>
      <c r="H531" s="323"/>
    </row>
    <row r="533" spans="1:8" ht="35.25" customHeight="1" x14ac:dyDescent="0.25">
      <c r="A533" s="542" t="s">
        <v>473</v>
      </c>
      <c r="B533" s="542"/>
      <c r="C533" s="542"/>
      <c r="D533" s="542"/>
      <c r="E533" s="542"/>
      <c r="F533" s="542"/>
      <c r="G533" s="542"/>
      <c r="H533" s="542"/>
    </row>
    <row r="536" spans="1:8" x14ac:dyDescent="0.2">
      <c r="A536" s="505" t="s">
        <v>474</v>
      </c>
      <c r="B536" s="415"/>
      <c r="C536" s="415"/>
      <c r="D536" s="415"/>
    </row>
    <row r="537" spans="1:8" ht="13.5" thickBot="1" x14ac:dyDescent="0.25">
      <c r="A537" s="304"/>
      <c r="B537" s="304"/>
      <c r="C537" s="71"/>
    </row>
    <row r="538" spans="1:8" x14ac:dyDescent="0.25">
      <c r="A538" s="543" t="s">
        <v>475</v>
      </c>
      <c r="B538" s="544"/>
      <c r="C538" s="545" t="s">
        <v>412</v>
      </c>
      <c r="D538" s="545" t="s">
        <v>413</v>
      </c>
    </row>
    <row r="539" spans="1:8" ht="13.5" thickBot="1" x14ac:dyDescent="0.3">
      <c r="A539" s="548"/>
      <c r="B539" s="549"/>
      <c r="C539" s="546"/>
      <c r="D539" s="547"/>
    </row>
    <row r="540" spans="1:8" x14ac:dyDescent="0.25">
      <c r="A540" s="533" t="s">
        <v>476</v>
      </c>
      <c r="B540" s="534"/>
      <c r="C540" s="311">
        <f>'[1]Nota II.2.5b'!C61</f>
        <v>160543178.13</v>
      </c>
      <c r="D540" s="311">
        <f>'[1]Nota II.2.5b'!D61</f>
        <v>218628095.71000001</v>
      </c>
    </row>
    <row r="541" spans="1:8" x14ac:dyDescent="0.25">
      <c r="A541" s="535" t="s">
        <v>477</v>
      </c>
      <c r="B541" s="536"/>
      <c r="C541" s="311">
        <f>'[1]Nota II.2.5b'!C62</f>
        <v>17504013.82</v>
      </c>
      <c r="D541" s="311">
        <f>'[1]Nota II.2.5b'!D62</f>
        <v>11096264</v>
      </c>
    </row>
    <row r="542" spans="1:8" x14ac:dyDescent="0.25">
      <c r="A542" s="537" t="s">
        <v>478</v>
      </c>
      <c r="B542" s="538"/>
      <c r="C542" s="311">
        <f>'[1]Nota II.2.5b'!C63</f>
        <v>814416213.84000003</v>
      </c>
      <c r="D542" s="311">
        <f>'[1]Nota II.2.5b'!D63</f>
        <v>933231792.52999997</v>
      </c>
    </row>
    <row r="543" spans="1:8" ht="32.25" customHeight="1" x14ac:dyDescent="0.25">
      <c r="A543" s="529" t="s">
        <v>479</v>
      </c>
      <c r="B543" s="530"/>
      <c r="C543" s="311">
        <f>'[1]Nota II.2.5b'!C64</f>
        <v>7231818.8399999999</v>
      </c>
      <c r="D543" s="311">
        <f>'[1]Nota II.2.5b'!D64</f>
        <v>7684068.54</v>
      </c>
    </row>
    <row r="544" spans="1:8" ht="41.25" customHeight="1" x14ac:dyDescent="0.25">
      <c r="A544" s="527" t="s">
        <v>480</v>
      </c>
      <c r="B544" s="528"/>
      <c r="C544" s="311">
        <f>'[1]Nota II.2.5b'!C65</f>
        <v>737105.48</v>
      </c>
      <c r="D544" s="311">
        <f>'[1]Nota II.2.5b'!D65</f>
        <v>567355.99</v>
      </c>
    </row>
    <row r="545" spans="1:6" x14ac:dyDescent="0.25">
      <c r="A545" s="527" t="s">
        <v>481</v>
      </c>
      <c r="B545" s="528"/>
      <c r="C545" s="311">
        <f>'[1]Nota II.2.5b'!C66</f>
        <v>1937765.02</v>
      </c>
      <c r="D545" s="311">
        <f>'[1]Nota II.2.5b'!D66</f>
        <v>1951303.01</v>
      </c>
    </row>
    <row r="546" spans="1:6" x14ac:dyDescent="0.25">
      <c r="A546" s="527" t="s">
        <v>482</v>
      </c>
      <c r="B546" s="528"/>
      <c r="C546" s="311">
        <f>'[1]Nota II.2.5b'!C67</f>
        <v>214360.53</v>
      </c>
      <c r="D546" s="311">
        <f>'[1]Nota II.2.5b'!D67</f>
        <v>235979.51</v>
      </c>
    </row>
    <row r="547" spans="1:6" ht="24.75" customHeight="1" x14ac:dyDescent="0.25">
      <c r="A547" s="527" t="s">
        <v>483</v>
      </c>
      <c r="B547" s="528"/>
      <c r="C547" s="311">
        <f>'[1]Nota II.2.5b'!C68</f>
        <v>10622233.57</v>
      </c>
      <c r="D547" s="311">
        <f>'[1]Nota II.2.5b'!D68</f>
        <v>9246981.7400000002</v>
      </c>
    </row>
    <row r="548" spans="1:6" ht="30" customHeight="1" x14ac:dyDescent="0.25">
      <c r="A548" s="529" t="s">
        <v>484</v>
      </c>
      <c r="B548" s="530"/>
      <c r="C548" s="311">
        <f>'[1]Nota II.2.5b'!C69</f>
        <v>51839739.829999998</v>
      </c>
      <c r="D548" s="311">
        <f>'[1]Nota II.2.5b'!D69</f>
        <v>61423982.759999998</v>
      </c>
    </row>
    <row r="549" spans="1:6" ht="13.5" thickBot="1" x14ac:dyDescent="0.3">
      <c r="A549" s="531" t="s">
        <v>176</v>
      </c>
      <c r="B549" s="532"/>
      <c r="C549" s="311">
        <f>'[1]Nota II.2.5b'!C70</f>
        <v>7367050.1399999997</v>
      </c>
      <c r="D549" s="311">
        <f>'[1]Nota II.2.5b'!D70</f>
        <v>2554031.0699999998</v>
      </c>
    </row>
    <row r="550" spans="1:6" ht="13.5" thickBot="1" x14ac:dyDescent="0.3">
      <c r="A550" s="450" t="s">
        <v>268</v>
      </c>
      <c r="B550" s="452"/>
      <c r="C550" s="224">
        <f>SUM(C540:C549)</f>
        <v>1072413479.2</v>
      </c>
      <c r="D550" s="224">
        <f>SUM(D540:D549)</f>
        <v>1246619854.8599999</v>
      </c>
    </row>
    <row r="555" spans="1:6" x14ac:dyDescent="0.25">
      <c r="A555" s="471" t="s">
        <v>485</v>
      </c>
      <c r="B555" s="471"/>
      <c r="C555" s="471"/>
    </row>
    <row r="556" spans="1:6" ht="13.5" thickBot="1" x14ac:dyDescent="0.3">
      <c r="A556" s="304"/>
      <c r="B556" s="304"/>
      <c r="C556" s="304"/>
    </row>
    <row r="557" spans="1:6" ht="26.25" thickBot="1" x14ac:dyDescent="0.3">
      <c r="A557" s="524" t="s">
        <v>486</v>
      </c>
      <c r="B557" s="525"/>
      <c r="C557" s="525"/>
      <c r="D557" s="526"/>
      <c r="E557" s="321" t="s">
        <v>412</v>
      </c>
      <c r="F557" s="192" t="s">
        <v>413</v>
      </c>
    </row>
    <row r="558" spans="1:6" ht="13.5" thickBot="1" x14ac:dyDescent="0.3">
      <c r="A558" s="456" t="s">
        <v>487</v>
      </c>
      <c r="B558" s="457"/>
      <c r="C558" s="457"/>
      <c r="D558" s="458"/>
      <c r="E558" s="324">
        <f>E559+E560+E561</f>
        <v>373013387.35000002</v>
      </c>
      <c r="F558" s="324">
        <f>F559+F560+F561</f>
        <v>280956747.31999999</v>
      </c>
    </row>
    <row r="559" spans="1:6" x14ac:dyDescent="0.25">
      <c r="A559" s="472" t="s">
        <v>488</v>
      </c>
      <c r="B559" s="473"/>
      <c r="C559" s="473"/>
      <c r="D559" s="474"/>
      <c r="E559" s="332">
        <f>'[1]Nota II.2.5.c'!D101</f>
        <v>330509044.72000003</v>
      </c>
      <c r="F559" s="332">
        <f>'[1]Nota II.2.5.c'!E101</f>
        <v>236175973.84</v>
      </c>
    </row>
    <row r="560" spans="1:6" x14ac:dyDescent="0.25">
      <c r="A560" s="444" t="s">
        <v>489</v>
      </c>
      <c r="B560" s="445"/>
      <c r="C560" s="445"/>
      <c r="D560" s="446"/>
      <c r="E560" s="312">
        <f>'[1]Nota II.2.5.c'!D102</f>
        <v>331194.84999999998</v>
      </c>
      <c r="F560" s="312">
        <f>'[1]Nota II.2.5.c'!E102</f>
        <v>210836.22</v>
      </c>
    </row>
    <row r="561" spans="1:6" ht="13.5" thickBot="1" x14ac:dyDescent="0.3">
      <c r="A561" s="515" t="s">
        <v>490</v>
      </c>
      <c r="B561" s="516"/>
      <c r="C561" s="516"/>
      <c r="D561" s="517"/>
      <c r="E561" s="333">
        <f>'[1]Nota II.2.5.c'!D103</f>
        <v>42173147.780000001</v>
      </c>
      <c r="F561" s="333">
        <f>'[1]Nota II.2.5.c'!E103</f>
        <v>44569937.259999998</v>
      </c>
    </row>
    <row r="562" spans="1:6" ht="13.5" thickBot="1" x14ac:dyDescent="0.3">
      <c r="A562" s="478" t="s">
        <v>491</v>
      </c>
      <c r="B562" s="479"/>
      <c r="C562" s="479"/>
      <c r="D562" s="480"/>
      <c r="E562" s="334">
        <f>'[1]Nota II.2.5.c'!D104</f>
        <v>1257024.68</v>
      </c>
      <c r="F562" s="334">
        <f>'[1]Nota II.2.5.c'!E104</f>
        <v>1747331.29</v>
      </c>
    </row>
    <row r="563" spans="1:6" ht="13.5" thickBot="1" x14ac:dyDescent="0.3">
      <c r="A563" s="521" t="s">
        <v>492</v>
      </c>
      <c r="B563" s="522"/>
      <c r="C563" s="522"/>
      <c r="D563" s="523"/>
      <c r="E563" s="307">
        <f>SUM(E564:E573)</f>
        <v>424560435.12</v>
      </c>
      <c r="F563" s="307">
        <f>SUM(F564:F573)</f>
        <v>402355111.72000003</v>
      </c>
    </row>
    <row r="564" spans="1:6" x14ac:dyDescent="0.25">
      <c r="A564" s="459" t="s">
        <v>493</v>
      </c>
      <c r="B564" s="460"/>
      <c r="C564" s="460"/>
      <c r="D564" s="461"/>
      <c r="E564" s="335">
        <f>'[1]Nota II.2.5.c'!D106</f>
        <v>1892601.83</v>
      </c>
      <c r="F564" s="335">
        <f>'[1]Nota II.2.5.c'!E106</f>
        <v>2021822.51</v>
      </c>
    </row>
    <row r="565" spans="1:6" hidden="1" x14ac:dyDescent="0.25">
      <c r="A565" s="465" t="s">
        <v>494</v>
      </c>
      <c r="B565" s="466"/>
      <c r="C565" s="466"/>
      <c r="D565" s="467"/>
      <c r="E565" s="336">
        <f>'[1]Nota II.2.5.c'!D107</f>
        <v>0</v>
      </c>
      <c r="F565" s="336">
        <f>'[1]Nota II.2.5.c'!E107</f>
        <v>0</v>
      </c>
    </row>
    <row r="566" spans="1:6" x14ac:dyDescent="0.25">
      <c r="A566" s="465" t="s">
        <v>495</v>
      </c>
      <c r="B566" s="466"/>
      <c r="C566" s="466"/>
      <c r="D566" s="467"/>
      <c r="E566" s="336">
        <f>'[1]Nota II.2.5.c'!D108</f>
        <v>3655829.61</v>
      </c>
      <c r="F566" s="336">
        <f>'[1]Nota II.2.5.c'!E108</f>
        <v>11723970.01</v>
      </c>
    </row>
    <row r="567" spans="1:6" x14ac:dyDescent="0.25">
      <c r="A567" s="465" t="s">
        <v>496</v>
      </c>
      <c r="B567" s="466"/>
      <c r="C567" s="466"/>
      <c r="D567" s="467"/>
      <c r="E567" s="336">
        <f>'[1]Nota II.2.5.c'!D109</f>
        <v>2631.1</v>
      </c>
      <c r="F567" s="336">
        <f>'[1]Nota II.2.5.c'!E109</f>
        <v>30554.16</v>
      </c>
    </row>
    <row r="568" spans="1:6" x14ac:dyDescent="0.25">
      <c r="A568" s="465" t="s">
        <v>497</v>
      </c>
      <c r="B568" s="466"/>
      <c r="C568" s="466"/>
      <c r="D568" s="467"/>
      <c r="E568" s="336">
        <f>'[1]Nota II.2.5.c'!D110</f>
        <v>2897205.23</v>
      </c>
      <c r="F568" s="336">
        <f>'[1]Nota II.2.5.c'!E110</f>
        <v>643840.68999999994</v>
      </c>
    </row>
    <row r="569" spans="1:6" x14ac:dyDescent="0.25">
      <c r="A569" s="465" t="s">
        <v>498</v>
      </c>
      <c r="B569" s="466"/>
      <c r="C569" s="466"/>
      <c r="D569" s="467"/>
      <c r="E569" s="336">
        <f>'[1]Nota II.2.5.c'!D111</f>
        <v>197026079.84999999</v>
      </c>
      <c r="F569" s="336">
        <f>'[1]Nota II.2.5.c'!E111</f>
        <v>195342562.37</v>
      </c>
    </row>
    <row r="570" spans="1:6" x14ac:dyDescent="0.25">
      <c r="A570" s="465" t="s">
        <v>499</v>
      </c>
      <c r="B570" s="466"/>
      <c r="C570" s="466"/>
      <c r="D570" s="467"/>
      <c r="E570" s="336">
        <f>'[1]Nota II.2.5.c'!D112</f>
        <v>118253071.84999999</v>
      </c>
      <c r="F570" s="336">
        <f>'[1]Nota II.2.5.c'!E112</f>
        <v>122985261.17</v>
      </c>
    </row>
    <row r="571" spans="1:6" ht="27" customHeight="1" x14ac:dyDescent="0.25">
      <c r="A571" s="444" t="s">
        <v>500</v>
      </c>
      <c r="B571" s="445"/>
      <c r="C571" s="445"/>
      <c r="D571" s="446"/>
      <c r="E571" s="336">
        <f>'[1]Nota II.2.5.c'!D113</f>
        <v>0</v>
      </c>
      <c r="F571" s="336">
        <f>'[1]Nota II.2.5.c'!E113</f>
        <v>0</v>
      </c>
    </row>
    <row r="572" spans="1:6" ht="62.25" customHeight="1" x14ac:dyDescent="0.25">
      <c r="A572" s="444" t="s">
        <v>501</v>
      </c>
      <c r="B572" s="445"/>
      <c r="C572" s="445"/>
      <c r="D572" s="446"/>
      <c r="E572" s="336">
        <f>'[1]Nota II.2.5.c'!D114</f>
        <v>0</v>
      </c>
      <c r="F572" s="336">
        <f>'[1]Nota II.2.5.c'!E114</f>
        <v>0</v>
      </c>
    </row>
    <row r="573" spans="1:6" ht="56.25" customHeight="1" thickBot="1" x14ac:dyDescent="0.3">
      <c r="A573" s="515" t="s">
        <v>502</v>
      </c>
      <c r="B573" s="516"/>
      <c r="C573" s="516"/>
      <c r="D573" s="517"/>
      <c r="E573" s="337">
        <f>'[1]Nota II.2.5.c'!D115</f>
        <v>100833015.65000001</v>
      </c>
      <c r="F573" s="337">
        <f>'[1]Nota II.2.5.c'!E115</f>
        <v>69607100.810000002</v>
      </c>
    </row>
    <row r="574" spans="1:6" ht="13.5" thickBot="1" x14ac:dyDescent="0.3">
      <c r="A574" s="518" t="s">
        <v>268</v>
      </c>
      <c r="B574" s="519"/>
      <c r="C574" s="519"/>
      <c r="D574" s="520"/>
      <c r="E574" s="205">
        <f>SUM(E558+E562+E563)</f>
        <v>798830847.1500001</v>
      </c>
      <c r="F574" s="205">
        <f>SUM(F558+F562+F563)</f>
        <v>685059190.33000004</v>
      </c>
    </row>
    <row r="579" spans="1:6" x14ac:dyDescent="0.2">
      <c r="A579" s="505" t="s">
        <v>503</v>
      </c>
      <c r="B579" s="415"/>
      <c r="C579" s="415"/>
      <c r="D579" s="415"/>
    </row>
    <row r="580" spans="1:6" ht="13.5" thickBot="1" x14ac:dyDescent="0.25">
      <c r="A580" s="304"/>
      <c r="B580" s="304"/>
      <c r="C580" s="71"/>
      <c r="D580" s="71"/>
    </row>
    <row r="581" spans="1:6" ht="26.25" thickBot="1" x14ac:dyDescent="0.3">
      <c r="A581" s="453" t="s">
        <v>504</v>
      </c>
      <c r="B581" s="454"/>
      <c r="C581" s="454"/>
      <c r="D581" s="455"/>
      <c r="E581" s="321" t="s">
        <v>412</v>
      </c>
      <c r="F581" s="192" t="s">
        <v>413</v>
      </c>
    </row>
    <row r="582" spans="1:6" ht="30.75" customHeight="1" thickBot="1" x14ac:dyDescent="0.3">
      <c r="A582" s="506" t="s">
        <v>505</v>
      </c>
      <c r="B582" s="507"/>
      <c r="C582" s="507"/>
      <c r="D582" s="508"/>
      <c r="E582" s="324">
        <f>'[1]Nota II.2.5.d'!C76</f>
        <v>0</v>
      </c>
      <c r="F582" s="324">
        <f>'[1]Nota II.2.5.d'!D76</f>
        <v>0</v>
      </c>
    </row>
    <row r="583" spans="1:6" ht="13.5" thickBot="1" x14ac:dyDescent="0.3">
      <c r="A583" s="456" t="s">
        <v>506</v>
      </c>
      <c r="B583" s="457"/>
      <c r="C583" s="457"/>
      <c r="D583" s="458"/>
      <c r="E583" s="324">
        <f>E584+E585+E589</f>
        <v>692302163.88000011</v>
      </c>
      <c r="F583" s="324">
        <f>F584+F585+F589</f>
        <v>1156312229.5899999</v>
      </c>
    </row>
    <row r="584" spans="1:6" ht="14.45" customHeight="1" x14ac:dyDescent="0.25">
      <c r="A584" s="509" t="s">
        <v>507</v>
      </c>
      <c r="B584" s="510"/>
      <c r="C584" s="510"/>
      <c r="D584" s="511"/>
      <c r="E584" s="334">
        <f>'[1]Nota II.2.5.d'!C78</f>
        <v>497096.29</v>
      </c>
      <c r="F584" s="334">
        <f>'[1]Nota II.2.5.d'!D78</f>
        <v>869809.14</v>
      </c>
    </row>
    <row r="585" spans="1:6" x14ac:dyDescent="0.25">
      <c r="A585" s="512" t="s">
        <v>508</v>
      </c>
      <c r="B585" s="513"/>
      <c r="C585" s="513"/>
      <c r="D585" s="514"/>
      <c r="E585" s="338">
        <f>SUM(E586:E588)</f>
        <v>339931624.59000003</v>
      </c>
      <c r="F585" s="338">
        <f>SUM(F586:F588)</f>
        <v>732778328.5</v>
      </c>
    </row>
    <row r="586" spans="1:6" ht="32.25" customHeight="1" x14ac:dyDescent="0.25">
      <c r="A586" s="499" t="s">
        <v>509</v>
      </c>
      <c r="B586" s="500"/>
      <c r="C586" s="500"/>
      <c r="D586" s="501"/>
      <c r="E586" s="329">
        <f>'[1]Nota II.2.5.d'!C80</f>
        <v>8610</v>
      </c>
      <c r="F586" s="329">
        <f>'[1]Nota II.2.5.d'!D80</f>
        <v>0</v>
      </c>
    </row>
    <row r="587" spans="1:6" x14ac:dyDescent="0.25">
      <c r="A587" s="499" t="s">
        <v>510</v>
      </c>
      <c r="B587" s="500"/>
      <c r="C587" s="500"/>
      <c r="D587" s="501"/>
      <c r="E587" s="329">
        <f>'[1]Nota II.2.5.d'!C81</f>
        <v>2959968.37</v>
      </c>
      <c r="F587" s="329">
        <f>'[1]Nota II.2.5.d'!D81</f>
        <v>2959968.4</v>
      </c>
    </row>
    <row r="588" spans="1:6" x14ac:dyDescent="0.25">
      <c r="A588" s="499" t="s">
        <v>511</v>
      </c>
      <c r="B588" s="500"/>
      <c r="C588" s="500"/>
      <c r="D588" s="501"/>
      <c r="E588" s="329">
        <f>'[1]Nota II.2.5.d'!C82</f>
        <v>336963046.22000003</v>
      </c>
      <c r="F588" s="329">
        <f>'[1]Nota II.2.5.d'!D82</f>
        <v>729818360.10000002</v>
      </c>
    </row>
    <row r="589" spans="1:6" x14ac:dyDescent="0.25">
      <c r="A589" s="502" t="s">
        <v>512</v>
      </c>
      <c r="B589" s="503"/>
      <c r="C589" s="503"/>
      <c r="D589" s="504"/>
      <c r="E589" s="339">
        <f>SUM(E590:E593)</f>
        <v>351873443</v>
      </c>
      <c r="F589" s="339">
        <f>SUM(F590:F593)</f>
        <v>422664091.94999999</v>
      </c>
    </row>
    <row r="590" spans="1:6" x14ac:dyDescent="0.25">
      <c r="A590" s="499" t="s">
        <v>513</v>
      </c>
      <c r="B590" s="500"/>
      <c r="C590" s="500"/>
      <c r="D590" s="501"/>
      <c r="E590" s="340">
        <f>'[1]Nota II.2.5.d'!C85</f>
        <v>257984290.38999999</v>
      </c>
      <c r="F590" s="340">
        <f>'[1]Nota II.2.5.d'!D85</f>
        <v>362124401.25</v>
      </c>
    </row>
    <row r="591" spans="1:6" x14ac:dyDescent="0.25">
      <c r="A591" s="484" t="s">
        <v>514</v>
      </c>
      <c r="B591" s="485"/>
      <c r="C591" s="485"/>
      <c r="D591" s="486"/>
      <c r="E591" s="340">
        <f>'[1]Nota II.2.5.d'!C86</f>
        <v>13060212.48</v>
      </c>
      <c r="F591" s="340">
        <f>'[1]Nota II.2.5.d'!D86</f>
        <v>10673854.18</v>
      </c>
    </row>
    <row r="592" spans="1:6" x14ac:dyDescent="0.25">
      <c r="A592" s="484" t="s">
        <v>515</v>
      </c>
      <c r="B592" s="485"/>
      <c r="C592" s="485"/>
      <c r="D592" s="486"/>
      <c r="E592" s="340">
        <f>'[1]Nota II.2.5.d'!C87</f>
        <v>0</v>
      </c>
      <c r="F592" s="340">
        <f>'[1]Nota II.2.5.d'!D87</f>
        <v>0</v>
      </c>
    </row>
    <row r="593" spans="1:6" ht="51.75" customHeight="1" thickBot="1" x14ac:dyDescent="0.3">
      <c r="A593" s="487" t="s">
        <v>516</v>
      </c>
      <c r="B593" s="488"/>
      <c r="C593" s="488"/>
      <c r="D593" s="489"/>
      <c r="E593" s="340">
        <f>'[1]Nota II.2.5.d'!C88</f>
        <v>80828940.129999995</v>
      </c>
      <c r="F593" s="340">
        <f>'[1]Nota II.2.5.d'!D88</f>
        <v>49865836.520000003</v>
      </c>
    </row>
    <row r="594" spans="1:6" ht="13.5" thickBot="1" x14ac:dyDescent="0.3">
      <c r="A594" s="490" t="s">
        <v>268</v>
      </c>
      <c r="B594" s="491"/>
      <c r="C594" s="491"/>
      <c r="D594" s="492"/>
      <c r="E594" s="217">
        <f>SUM(E582+E583)</f>
        <v>692302163.88000011</v>
      </c>
      <c r="F594" s="217">
        <f>SUM(F582+F583)</f>
        <v>1156312229.5899999</v>
      </c>
    </row>
    <row r="599" spans="1:6" x14ac:dyDescent="0.2">
      <c r="A599" s="341" t="s">
        <v>517</v>
      </c>
      <c r="B599" s="342"/>
      <c r="C599" s="342"/>
    </row>
    <row r="600" spans="1:6" ht="13.5" thickBot="1" x14ac:dyDescent="0.25">
      <c r="A600" s="71"/>
      <c r="B600" s="71"/>
      <c r="C600" s="71"/>
    </row>
    <row r="601" spans="1:6" ht="26.25" thickBot="1" x14ac:dyDescent="0.3">
      <c r="A601" s="493"/>
      <c r="B601" s="494"/>
      <c r="C601" s="494"/>
      <c r="D601" s="495"/>
      <c r="E601" s="288" t="s">
        <v>412</v>
      </c>
      <c r="F601" s="192" t="s">
        <v>413</v>
      </c>
    </row>
    <row r="602" spans="1:6" ht="13.5" thickBot="1" x14ac:dyDescent="0.3">
      <c r="A602" s="496" t="s">
        <v>518</v>
      </c>
      <c r="B602" s="497"/>
      <c r="C602" s="497"/>
      <c r="D602" s="498"/>
      <c r="E602" s="307">
        <f>'[1]Nota II.2.5.e'!C82</f>
        <v>253758.2</v>
      </c>
      <c r="F602" s="307">
        <f>'[1]Nota II.2.5.e'!D82</f>
        <v>114285.42</v>
      </c>
    </row>
    <row r="603" spans="1:6" ht="13.5" thickBot="1" x14ac:dyDescent="0.3">
      <c r="A603" s="478" t="s">
        <v>519</v>
      </c>
      <c r="B603" s="479"/>
      <c r="C603" s="479"/>
      <c r="D603" s="480"/>
      <c r="E603" s="307">
        <f>SUM(E604:E605)</f>
        <v>521671061.81999999</v>
      </c>
      <c r="F603" s="307">
        <f>SUM(F604:F605)</f>
        <v>698606178.25999999</v>
      </c>
    </row>
    <row r="604" spans="1:6" ht="42.6" customHeight="1" x14ac:dyDescent="0.25">
      <c r="A604" s="472" t="s">
        <v>520</v>
      </c>
      <c r="B604" s="473"/>
      <c r="C604" s="473"/>
      <c r="D604" s="474"/>
      <c r="E604" s="309">
        <f>'[1]Nota II.2.5.e'!C86</f>
        <v>264803166.22</v>
      </c>
      <c r="F604" s="309">
        <f>'[1]Nota II.2.5.e'!D86</f>
        <v>513438430.29000002</v>
      </c>
    </row>
    <row r="605" spans="1:6" ht="15.75" customHeight="1" thickBot="1" x14ac:dyDescent="0.3">
      <c r="A605" s="475" t="s">
        <v>521</v>
      </c>
      <c r="B605" s="476"/>
      <c r="C605" s="476"/>
      <c r="D605" s="477"/>
      <c r="E605" s="343">
        <f>'[1]Nota II.2.5.e'!C87</f>
        <v>256867895.59999999</v>
      </c>
      <c r="F605" s="343">
        <f>'[1]Nota II.2.5.e'!D87</f>
        <v>185167747.97</v>
      </c>
    </row>
    <row r="606" spans="1:6" ht="13.5" thickBot="1" x14ac:dyDescent="0.3">
      <c r="A606" s="478" t="s">
        <v>522</v>
      </c>
      <c r="B606" s="479"/>
      <c r="C606" s="479"/>
      <c r="D606" s="480"/>
      <c r="E606" s="307">
        <f>SUM(E607:E613)</f>
        <v>103546494.70000002</v>
      </c>
      <c r="F606" s="307">
        <f>SUM(F607:F613)</f>
        <v>144649640.12</v>
      </c>
    </row>
    <row r="607" spans="1:6" x14ac:dyDescent="0.25">
      <c r="A607" s="459" t="s">
        <v>523</v>
      </c>
      <c r="B607" s="460"/>
      <c r="C607" s="460"/>
      <c r="D607" s="461"/>
      <c r="E607" s="309">
        <f>'[1]Nota II.2.5.e'!C89</f>
        <v>0</v>
      </c>
      <c r="F607" s="309">
        <f>'[1]Nota II.2.5.e'!D89</f>
        <v>0</v>
      </c>
    </row>
    <row r="608" spans="1:6" x14ac:dyDescent="0.25">
      <c r="A608" s="481" t="s">
        <v>524</v>
      </c>
      <c r="B608" s="482"/>
      <c r="C608" s="482"/>
      <c r="D608" s="483"/>
      <c r="E608" s="340">
        <f>'[1]Nota II.2.5.e'!C90</f>
        <v>7084.26</v>
      </c>
      <c r="F608" s="340">
        <f>'[1]Nota II.2.5.e'!D90</f>
        <v>84.16</v>
      </c>
    </row>
    <row r="609" spans="1:6" x14ac:dyDescent="0.25">
      <c r="A609" s="465" t="s">
        <v>525</v>
      </c>
      <c r="B609" s="466"/>
      <c r="C609" s="466"/>
      <c r="D609" s="467"/>
      <c r="E609" s="340">
        <f>'[1]Nota II.2.5.e'!C91</f>
        <v>100897293.43000001</v>
      </c>
      <c r="F609" s="340">
        <f>'[1]Nota II.2.5.e'!D91</f>
        <v>109805447.52</v>
      </c>
    </row>
    <row r="610" spans="1:6" x14ac:dyDescent="0.25">
      <c r="A610" s="444" t="s">
        <v>526</v>
      </c>
      <c r="B610" s="445"/>
      <c r="C610" s="445"/>
      <c r="D610" s="446"/>
      <c r="E610" s="340">
        <f>'[1]Nota II.2.5.e'!C92</f>
        <v>0</v>
      </c>
      <c r="F610" s="340">
        <f>'[1]Nota II.2.5.e'!D92</f>
        <v>0</v>
      </c>
    </row>
    <row r="611" spans="1:6" x14ac:dyDescent="0.25">
      <c r="A611" s="444" t="s">
        <v>527</v>
      </c>
      <c r="B611" s="445"/>
      <c r="C611" s="445"/>
      <c r="D611" s="446"/>
      <c r="E611" s="340">
        <f>'[1]Nota II.2.5.e'!C93</f>
        <v>0</v>
      </c>
      <c r="F611" s="340">
        <f>'[1]Nota II.2.5.e'!D93</f>
        <v>0</v>
      </c>
    </row>
    <row r="612" spans="1:6" x14ac:dyDescent="0.25">
      <c r="A612" s="444" t="s">
        <v>528</v>
      </c>
      <c r="B612" s="445"/>
      <c r="C612" s="445"/>
      <c r="D612" s="446"/>
      <c r="E612" s="340">
        <f>'[1]Nota II.2.5.e'!C94</f>
        <v>2257498.5</v>
      </c>
      <c r="F612" s="340">
        <f>'[1]Nota II.2.5.e'!D94</f>
        <v>34584509.759999998</v>
      </c>
    </row>
    <row r="613" spans="1:6" ht="13.5" thickBot="1" x14ac:dyDescent="0.3">
      <c r="A613" s="468" t="s">
        <v>529</v>
      </c>
      <c r="B613" s="469"/>
      <c r="C613" s="469"/>
      <c r="D613" s="470"/>
      <c r="E613" s="340">
        <f>'[1]Nota II.2.5.e'!C95</f>
        <v>384618.51</v>
      </c>
      <c r="F613" s="340">
        <f>'[1]Nota II.2.5.e'!D95</f>
        <v>259598.68</v>
      </c>
    </row>
    <row r="614" spans="1:6" ht="13.5" thickBot="1" x14ac:dyDescent="0.3">
      <c r="A614" s="450" t="s">
        <v>268</v>
      </c>
      <c r="B614" s="451"/>
      <c r="C614" s="451"/>
      <c r="D614" s="452"/>
      <c r="E614" s="205">
        <f>SUM(E602+E603+E606)</f>
        <v>625471314.72000003</v>
      </c>
      <c r="F614" s="205">
        <f>SUM(F602+F603+F606)</f>
        <v>843370103.79999995</v>
      </c>
    </row>
    <row r="617" spans="1:6" x14ac:dyDescent="0.25">
      <c r="A617" s="471" t="s">
        <v>530</v>
      </c>
      <c r="B617" s="471"/>
      <c r="C617" s="471"/>
    </row>
    <row r="618" spans="1:6" ht="13.5" thickBot="1" x14ac:dyDescent="0.3">
      <c r="A618" s="177"/>
      <c r="B618" s="177"/>
      <c r="C618" s="177"/>
    </row>
    <row r="619" spans="1:6" ht="26.25" thickBot="1" x14ac:dyDescent="0.3">
      <c r="A619" s="453"/>
      <c r="B619" s="454"/>
      <c r="C619" s="454"/>
      <c r="D619" s="455"/>
      <c r="E619" s="321" t="s">
        <v>412</v>
      </c>
      <c r="F619" s="192" t="s">
        <v>413</v>
      </c>
    </row>
    <row r="620" spans="1:6" ht="13.5" thickBot="1" x14ac:dyDescent="0.3">
      <c r="A620" s="456" t="s">
        <v>519</v>
      </c>
      <c r="B620" s="457"/>
      <c r="C620" s="457"/>
      <c r="D620" s="458"/>
      <c r="E620" s="307">
        <f>E621+E622</f>
        <v>179560614.75</v>
      </c>
      <c r="F620" s="307">
        <f>F621+F622</f>
        <v>174041289.24000001</v>
      </c>
    </row>
    <row r="621" spans="1:6" ht="13.5" thickBot="1" x14ac:dyDescent="0.3">
      <c r="A621" s="459" t="s">
        <v>531</v>
      </c>
      <c r="B621" s="460"/>
      <c r="C621" s="460"/>
      <c r="D621" s="461"/>
      <c r="E621" s="309">
        <f>'[1]Nota II.2.5.f'!C88</f>
        <v>177459870.08000001</v>
      </c>
      <c r="F621" s="309">
        <f>'[1]Nota II.2.5.f'!D88</f>
        <v>166512916</v>
      </c>
    </row>
    <row r="622" spans="1:6" ht="13.5" thickBot="1" x14ac:dyDescent="0.3">
      <c r="A622" s="462" t="s">
        <v>532</v>
      </c>
      <c r="B622" s="463"/>
      <c r="C622" s="463"/>
      <c r="D622" s="464"/>
      <c r="E622" s="309">
        <f>'[1]Nota II.2.5.f'!C89</f>
        <v>2100744.67</v>
      </c>
      <c r="F622" s="343">
        <f>'[1]Nota II.2.5.f'!D89</f>
        <v>7528373.2400000002</v>
      </c>
    </row>
    <row r="623" spans="1:6" ht="13.5" thickBot="1" x14ac:dyDescent="0.3">
      <c r="A623" s="456" t="s">
        <v>533</v>
      </c>
      <c r="B623" s="457"/>
      <c r="C623" s="457"/>
      <c r="D623" s="458"/>
      <c r="E623" s="307">
        <f>SUM(E624:E629)</f>
        <v>975869479.19999993</v>
      </c>
      <c r="F623" s="307">
        <f>SUM(F624:F629)</f>
        <v>1174007857.04</v>
      </c>
    </row>
    <row r="624" spans="1:6" x14ac:dyDescent="0.25">
      <c r="A624" s="465" t="s">
        <v>534</v>
      </c>
      <c r="B624" s="466"/>
      <c r="C624" s="466"/>
      <c r="D624" s="467"/>
      <c r="E624" s="311">
        <f>'[1]Nota II.2.5.f'!C93</f>
        <v>4912.95</v>
      </c>
      <c r="F624" s="311">
        <f>'[1]Nota II.2.5.f'!D93</f>
        <v>46539.59</v>
      </c>
    </row>
    <row r="625" spans="1:6" x14ac:dyDescent="0.25">
      <c r="A625" s="444" t="s">
        <v>535</v>
      </c>
      <c r="B625" s="445"/>
      <c r="C625" s="445"/>
      <c r="D625" s="446"/>
      <c r="E625" s="311">
        <f>'[1]Nota II.2.5.f'!C94</f>
        <v>9230483.3499999996</v>
      </c>
      <c r="F625" s="311">
        <f>'[1]Nota II.2.5.f'!D94</f>
        <v>11792968.91</v>
      </c>
    </row>
    <row r="626" spans="1:6" x14ac:dyDescent="0.25">
      <c r="A626" s="444" t="s">
        <v>536</v>
      </c>
      <c r="B626" s="445"/>
      <c r="C626" s="445"/>
      <c r="D626" s="446"/>
      <c r="E626" s="311">
        <f>'[1]Nota II.2.5.f'!C95</f>
        <v>310494361.07999998</v>
      </c>
      <c r="F626" s="311">
        <f>'[1]Nota II.2.5.f'!D95</f>
        <v>544053803.70000005</v>
      </c>
    </row>
    <row r="627" spans="1:6" x14ac:dyDescent="0.25">
      <c r="A627" s="444" t="s">
        <v>537</v>
      </c>
      <c r="B627" s="445"/>
      <c r="C627" s="445"/>
      <c r="D627" s="446"/>
      <c r="E627" s="311">
        <f>'[1]Nota II.2.5.f'!C96</f>
        <v>120608188.15000001</v>
      </c>
      <c r="F627" s="311">
        <f>'[1]Nota II.2.5.f'!D96</f>
        <v>55582047.520000003</v>
      </c>
    </row>
    <row r="628" spans="1:6" x14ac:dyDescent="0.25">
      <c r="A628" s="444" t="s">
        <v>538</v>
      </c>
      <c r="B628" s="445"/>
      <c r="C628" s="445"/>
      <c r="D628" s="446"/>
      <c r="E628" s="311">
        <f>'[1]Nota II.2.5.f'!C97</f>
        <v>430250.08</v>
      </c>
      <c r="F628" s="311">
        <f>'[1]Nota II.2.5.f'!D97</f>
        <v>1046044.3</v>
      </c>
    </row>
    <row r="629" spans="1:6" ht="13.5" thickBot="1" x14ac:dyDescent="0.3">
      <c r="A629" s="447" t="s">
        <v>361</v>
      </c>
      <c r="B629" s="448"/>
      <c r="C629" s="448"/>
      <c r="D629" s="449"/>
      <c r="E629" s="311">
        <f>'[1]Nota II.2.5.f'!C98</f>
        <v>535101283.58999997</v>
      </c>
      <c r="F629" s="311">
        <f>'[1]Nota II.2.5.f'!D98</f>
        <v>561486453.01999998</v>
      </c>
    </row>
    <row r="630" spans="1:6" ht="13.5" thickBot="1" x14ac:dyDescent="0.3">
      <c r="A630" s="450" t="s">
        <v>268</v>
      </c>
      <c r="B630" s="451"/>
      <c r="C630" s="451"/>
      <c r="D630" s="452"/>
      <c r="E630" s="205">
        <f>SUM(E620+E623)</f>
        <v>1155430093.9499998</v>
      </c>
      <c r="F630" s="205">
        <f>SUM(F620+F623)</f>
        <v>1348049146.28</v>
      </c>
    </row>
    <row r="636" spans="1:6" x14ac:dyDescent="0.25">
      <c r="A636" s="416" t="s">
        <v>539</v>
      </c>
      <c r="B636" s="416"/>
      <c r="C636" s="416"/>
      <c r="D636" s="416"/>
      <c r="E636" s="416"/>
      <c r="F636" s="416"/>
    </row>
    <row r="637" spans="1:6" ht="13.5" thickBot="1" x14ac:dyDescent="0.3">
      <c r="A637" s="344"/>
    </row>
    <row r="638" spans="1:6" ht="13.5" thickBot="1" x14ac:dyDescent="0.3">
      <c r="A638" s="433" t="s">
        <v>540</v>
      </c>
      <c r="B638" s="434"/>
      <c r="C638" s="437" t="s">
        <v>292</v>
      </c>
      <c r="D638" s="438"/>
      <c r="E638" s="438"/>
      <c r="F638" s="439"/>
    </row>
    <row r="639" spans="1:6" ht="13.5" thickBot="1" x14ac:dyDescent="0.3">
      <c r="A639" s="435"/>
      <c r="B639" s="436"/>
      <c r="C639" s="345" t="s">
        <v>541</v>
      </c>
      <c r="D639" s="346" t="s">
        <v>542</v>
      </c>
      <c r="E639" s="347" t="s">
        <v>414</v>
      </c>
      <c r="F639" s="346" t="s">
        <v>420</v>
      </c>
    </row>
    <row r="640" spans="1:6" ht="33.75" customHeight="1" x14ac:dyDescent="0.25">
      <c r="A640" s="440" t="s">
        <v>543</v>
      </c>
      <c r="B640" s="441"/>
      <c r="C640" s="348">
        <f>SUM(C641:C662)</f>
        <v>24638864.07</v>
      </c>
      <c r="D640" s="348">
        <f t="shared" ref="D640:F640" si="22">SUM(D641:D662)</f>
        <v>46075682.979999997</v>
      </c>
      <c r="E640" s="348">
        <f t="shared" si="22"/>
        <v>154882686.81999999</v>
      </c>
      <c r="F640" s="349">
        <f t="shared" si="22"/>
        <v>755887057.48000002</v>
      </c>
    </row>
    <row r="641" spans="1:6" ht="13.5" customHeight="1" x14ac:dyDescent="0.25">
      <c r="A641" s="442" t="s">
        <v>255</v>
      </c>
      <c r="B641" s="443"/>
      <c r="C641" s="350">
        <v>0</v>
      </c>
      <c r="D641" s="350">
        <f>'[1]Nota II.2.5.g'!D11</f>
        <v>57200</v>
      </c>
      <c r="E641" s="350">
        <f>'[1]Nota II.2.5.g'!E11</f>
        <v>40168</v>
      </c>
      <c r="F641" s="349">
        <f>'[1]Nota II.2.5.g'!F11</f>
        <v>1057500</v>
      </c>
    </row>
    <row r="642" spans="1:6" ht="13.5" customHeight="1" x14ac:dyDescent="0.25">
      <c r="A642" s="423" t="s">
        <v>241</v>
      </c>
      <c r="B642" s="424"/>
      <c r="C642" s="350">
        <f>'[1]Nota II.2.5.g'!C12</f>
        <v>174873.4</v>
      </c>
      <c r="D642" s="350">
        <f>'[1]Nota II.2.5.g'!D12</f>
        <v>559471.11</v>
      </c>
      <c r="E642" s="350">
        <v>0</v>
      </c>
      <c r="F642" s="349">
        <f>'[1]Nota II.2.5.g'!F12</f>
        <v>7458152.1299999999</v>
      </c>
    </row>
    <row r="643" spans="1:6" ht="13.5" customHeight="1" x14ac:dyDescent="0.25">
      <c r="A643" s="423" t="s">
        <v>242</v>
      </c>
      <c r="B643" s="424"/>
      <c r="C643" s="350">
        <f>'[1]Nota II.2.5.g'!C13</f>
        <v>0</v>
      </c>
      <c r="D643" s="350">
        <v>0</v>
      </c>
      <c r="E643" s="350">
        <f>'[1]Nota II.2.5.g'!E13</f>
        <v>1784366.22</v>
      </c>
      <c r="F643" s="349">
        <f>'[1]Nota II.2.5.g'!F13</f>
        <v>2953.14</v>
      </c>
    </row>
    <row r="644" spans="1:6" ht="27" customHeight="1" x14ac:dyDescent="0.25">
      <c r="A644" s="423" t="s">
        <v>243</v>
      </c>
      <c r="B644" s="424"/>
      <c r="C644" s="350">
        <f>'[1]Nota II.2.5.g'!C14</f>
        <v>0</v>
      </c>
      <c r="D644" s="350">
        <f>'[1]Nota II.2.5.g'!D14</f>
        <v>35855470.710000001</v>
      </c>
      <c r="E644" s="350">
        <f>'[1]Nota II.2.5.g'!E14</f>
        <v>7524132.54</v>
      </c>
      <c r="F644" s="349">
        <f>'[1]Nota II.2.5.g'!F14</f>
        <v>701582484.45000005</v>
      </c>
    </row>
    <row r="645" spans="1:6" ht="24.75" customHeight="1" x14ac:dyDescent="0.25">
      <c r="A645" s="423" t="s">
        <v>244</v>
      </c>
      <c r="B645" s="424"/>
      <c r="C645" s="350">
        <v>0</v>
      </c>
      <c r="D645" s="350">
        <v>0</v>
      </c>
      <c r="E645" s="350">
        <f>'[1]Nota II.2.5.g'!E15</f>
        <v>4311902.51</v>
      </c>
      <c r="F645" s="349">
        <f>'[1]Nota II.2.5.g'!F15</f>
        <v>0</v>
      </c>
    </row>
    <row r="646" spans="1:6" ht="23.25" customHeight="1" x14ac:dyDescent="0.25">
      <c r="A646" s="423" t="s">
        <v>245</v>
      </c>
      <c r="B646" s="424"/>
      <c r="C646" s="350">
        <f>'[1]Nota II.2.5.g'!C16</f>
        <v>0</v>
      </c>
      <c r="D646" s="350">
        <f>'[1]Nota II.2.5.g'!D16</f>
        <v>0</v>
      </c>
      <c r="E646" s="350">
        <f>'[1]Nota II.2.5.g'!E16</f>
        <v>18935</v>
      </c>
      <c r="F646" s="349">
        <f>'[1]Nota II.2.5.g'!F16</f>
        <v>2240.79</v>
      </c>
    </row>
    <row r="647" spans="1:6" ht="24.75" customHeight="1" x14ac:dyDescent="0.25">
      <c r="A647" s="423" t="s">
        <v>544</v>
      </c>
      <c r="B647" s="424"/>
      <c r="C647" s="350">
        <f>'[1]Nota II.2.5.g'!C17</f>
        <v>1110544.19</v>
      </c>
      <c r="D647" s="350">
        <f>'[1]Nota II.2.5.g'!D17</f>
        <v>9355653.9700000007</v>
      </c>
      <c r="E647" s="350">
        <f>'[1]Nota II.2.5.g'!E17</f>
        <v>98408552.430000007</v>
      </c>
      <c r="F647" s="349">
        <f>'[1]Nota II.2.5.g'!F17</f>
        <v>37946931.859999999</v>
      </c>
    </row>
    <row r="648" spans="1:6" x14ac:dyDescent="0.25">
      <c r="A648" s="423" t="s">
        <v>247</v>
      </c>
      <c r="B648" s="424"/>
      <c r="C648" s="350">
        <v>0</v>
      </c>
      <c r="D648" s="350">
        <f>'[1]Nota II.2.5.g'!D18</f>
        <v>1000</v>
      </c>
      <c r="E648" s="350">
        <f>'[1]Nota II.2.5.g'!E18</f>
        <v>7047449.75</v>
      </c>
      <c r="F648" s="349">
        <f>'[1]Nota II.2.5.g'!F18</f>
        <v>2235328.2200000002</v>
      </c>
    </row>
    <row r="649" spans="1:6" ht="29.25" customHeight="1" x14ac:dyDescent="0.25">
      <c r="A649" s="423" t="s">
        <v>273</v>
      </c>
      <c r="B649" s="424"/>
      <c r="C649" s="350">
        <f>'[1]Nota II.2.5.g'!C19</f>
        <v>0</v>
      </c>
      <c r="D649" s="350">
        <f>'[1]Nota II.2.5.g'!D19</f>
        <v>0</v>
      </c>
      <c r="E649" s="350">
        <f>'[1]Nota II.2.5.g'!E19</f>
        <v>808494.83</v>
      </c>
      <c r="F649" s="349">
        <f>'[1]Nota II.2.5.g'!F19</f>
        <v>0</v>
      </c>
    </row>
    <row r="650" spans="1:6" x14ac:dyDescent="0.25">
      <c r="A650" s="423" t="s">
        <v>545</v>
      </c>
      <c r="B650" s="424"/>
      <c r="C650" s="350">
        <f>'[1]Nota II.2.5.g'!C20</f>
        <v>0</v>
      </c>
      <c r="D650" s="350">
        <f>'[1]Nota II.2.5.g'!D20</f>
        <v>0</v>
      </c>
      <c r="E650" s="350">
        <f>'[1]Nota II.2.5.g'!E20</f>
        <v>0</v>
      </c>
      <c r="F650" s="349">
        <f>'[1]Nota II.2.5.g'!F20</f>
        <v>0</v>
      </c>
    </row>
    <row r="651" spans="1:6" ht="12.75" customHeight="1" x14ac:dyDescent="0.25">
      <c r="A651" s="423" t="s">
        <v>257</v>
      </c>
      <c r="B651" s="424"/>
      <c r="C651" s="350">
        <f>'[1]Nota II.2.5.g'!C22</f>
        <v>0</v>
      </c>
      <c r="D651" s="350">
        <f>'[1]Nota II.2.5.g'!D22</f>
        <v>0</v>
      </c>
      <c r="E651" s="350">
        <f>'[1]Nota II.2.5.g'!E22</f>
        <v>43447</v>
      </c>
      <c r="F651" s="349">
        <f>'[1]Nota II.2.5.g'!F22</f>
        <v>3545366.16</v>
      </c>
    </row>
    <row r="652" spans="1:6" ht="12.75" customHeight="1" x14ac:dyDescent="0.25">
      <c r="A652" s="423" t="s">
        <v>546</v>
      </c>
      <c r="B652" s="424"/>
      <c r="C652" s="350">
        <f>'[1]Nota II.2.5.g'!C21</f>
        <v>0</v>
      </c>
      <c r="D652" s="350">
        <f>'[1]Nota II.2.5.g'!D21</f>
        <v>0</v>
      </c>
      <c r="E652" s="350">
        <f>'[1]Nota II.2.5.g'!E21</f>
        <v>358688.92</v>
      </c>
      <c r="F652" s="349">
        <f>'[1]Nota II.2.5.g'!F21</f>
        <v>0</v>
      </c>
    </row>
    <row r="653" spans="1:6" x14ac:dyDescent="0.25">
      <c r="A653" s="423" t="s">
        <v>260</v>
      </c>
      <c r="B653" s="424"/>
      <c r="C653" s="350">
        <f>'[1]Nota II.2.5.g'!C23</f>
        <v>0</v>
      </c>
      <c r="D653" s="350">
        <f>'[1]Nota II.2.5.g'!D23</f>
        <v>4729.8900000000003</v>
      </c>
      <c r="E653" s="350">
        <f>'[1]Nota II.2.5.g'!E23</f>
        <v>77279</v>
      </c>
      <c r="F653" s="349">
        <f>'[1]Nota II.2.5.g'!F23</f>
        <v>7296.99</v>
      </c>
    </row>
    <row r="654" spans="1:6" ht="12.75" customHeight="1" x14ac:dyDescent="0.25">
      <c r="A654" s="423" t="s">
        <v>259</v>
      </c>
      <c r="B654" s="424"/>
      <c r="C654" s="350">
        <f>'[1]Nota II.2.5.g'!C24</f>
        <v>0</v>
      </c>
      <c r="D654" s="350">
        <v>0</v>
      </c>
      <c r="E654" s="350">
        <f>'[1]Nota II.2.5.g'!E24</f>
        <v>174533.61</v>
      </c>
      <c r="F654" s="349">
        <f>'[1]Nota II.2.5.g'!F24</f>
        <v>1068</v>
      </c>
    </row>
    <row r="655" spans="1:6" x14ac:dyDescent="0.25">
      <c r="A655" s="423" t="s">
        <v>258</v>
      </c>
      <c r="B655" s="424"/>
      <c r="C655" s="350">
        <f>'[1]Nota II.2.5.g'!C25</f>
        <v>0</v>
      </c>
      <c r="D655" s="350">
        <f>'[1]Nota II.2.5.g'!D25</f>
        <v>6500</v>
      </c>
      <c r="E655" s="350">
        <f>'[1]Nota II.2.5.g'!E25</f>
        <v>140079.44</v>
      </c>
      <c r="F655" s="349">
        <f>'[1]Nota II.2.5.g'!F25</f>
        <v>135500</v>
      </c>
    </row>
    <row r="656" spans="1:6" ht="12.75" customHeight="1" x14ac:dyDescent="0.25">
      <c r="A656" s="423" t="s">
        <v>256</v>
      </c>
      <c r="B656" s="424"/>
      <c r="C656" s="350">
        <f>'[1]Nota II.2.5.g'!C26</f>
        <v>0</v>
      </c>
      <c r="D656" s="350">
        <f>'[1]Nota II.2.5.g'!D26</f>
        <v>24108</v>
      </c>
      <c r="E656" s="350">
        <f>'[1]Nota II.2.5.g'!E26</f>
        <v>205804.06</v>
      </c>
      <c r="F656" s="349">
        <f>'[1]Nota II.2.5.g'!F26</f>
        <v>297724</v>
      </c>
    </row>
    <row r="657" spans="1:6" x14ac:dyDescent="0.25">
      <c r="A657" s="423" t="s">
        <v>547</v>
      </c>
      <c r="B657" s="424"/>
      <c r="C657" s="350">
        <f>'[1]Nota II.2.5.g'!C27</f>
        <v>0</v>
      </c>
      <c r="D657" s="350">
        <f>'[1]Nota II.2.5.g'!D27</f>
        <v>0</v>
      </c>
      <c r="E657" s="350">
        <f>'[1]Nota II.2.5.g'!E27</f>
        <v>250140</v>
      </c>
      <c r="F657" s="349">
        <f>'[1]Nota II.2.5.g'!F27</f>
        <v>1304368.45</v>
      </c>
    </row>
    <row r="658" spans="1:6" ht="21.75" customHeight="1" x14ac:dyDescent="0.25">
      <c r="A658" s="423" t="s">
        <v>548</v>
      </c>
      <c r="B658" s="424"/>
      <c r="C658" s="350">
        <f>'[1]Nota II.2.5.g'!C33</f>
        <v>0</v>
      </c>
      <c r="D658" s="350">
        <f>'[1]Nota II.2.5.g'!D33</f>
        <v>0</v>
      </c>
      <c r="E658" s="350">
        <f>'[1]Nota II.2.5.g'!E33</f>
        <v>31361</v>
      </c>
      <c r="F658" s="167">
        <f>'[1]Nota II.2.5.g'!F33</f>
        <v>0</v>
      </c>
    </row>
    <row r="659" spans="1:6" ht="12.75" customHeight="1" x14ac:dyDescent="0.25">
      <c r="A659" s="423" t="s">
        <v>251</v>
      </c>
      <c r="B659" s="424"/>
      <c r="C659" s="350">
        <f>'[1]Nota II.2.5.g'!C28+'[1]Nota II.2.5.g'!C30</f>
        <v>12103446.48</v>
      </c>
      <c r="D659" s="350">
        <f>'[1]Nota II.2.5.g'!D28+'[1]Nota II.2.5.g'!D30</f>
        <v>1587.51</v>
      </c>
      <c r="E659" s="350">
        <f>'[1]Nota II.2.5.g'!E28+'[1]Nota II.2.5.g'!E30</f>
        <v>1912781.8800000001</v>
      </c>
      <c r="F659" s="349">
        <f>'[1]Nota II.2.5.g'!F28+'[1]Nota II.2.5.g'!F30</f>
        <v>17927</v>
      </c>
    </row>
    <row r="660" spans="1:6" ht="12.75" customHeight="1" x14ac:dyDescent="0.25">
      <c r="A660" s="423" t="s">
        <v>252</v>
      </c>
      <c r="B660" s="424"/>
      <c r="C660" s="350">
        <f>'[1]Nota II.2.5.g'!C29</f>
        <v>11250000</v>
      </c>
      <c r="D660" s="350">
        <f>'[1]Nota II.2.5.g'!D29</f>
        <v>0</v>
      </c>
      <c r="E660" s="350">
        <f>'[1]Nota II.2.5.g'!E29</f>
        <v>2470592.2200000002</v>
      </c>
      <c r="F660" s="349">
        <f>'[1]Nota II.2.5.g'!F29</f>
        <v>0</v>
      </c>
    </row>
    <row r="661" spans="1:6" x14ac:dyDescent="0.25">
      <c r="A661" s="423" t="s">
        <v>253</v>
      </c>
      <c r="B661" s="424"/>
      <c r="C661" s="350">
        <v>0</v>
      </c>
      <c r="D661" s="350">
        <f>'[1]Nota II.2.5.g'!D31</f>
        <v>209961.79</v>
      </c>
      <c r="E661" s="350">
        <f>'[1]Nota II.2.5.g'!E31</f>
        <v>29273978.41</v>
      </c>
      <c r="F661" s="349">
        <f>'[1]Nota II.2.5.g'!F31</f>
        <v>5781.12</v>
      </c>
    </row>
    <row r="662" spans="1:6" x14ac:dyDescent="0.25">
      <c r="A662" s="423" t="s">
        <v>254</v>
      </c>
      <c r="B662" s="424"/>
      <c r="C662" s="350">
        <f>'[1]Nota II.2.5.g'!C32</f>
        <v>0</v>
      </c>
      <c r="D662" s="350">
        <v>0</v>
      </c>
      <c r="E662" s="350">
        <f>'[1]Nota II.2.5.g'!E32</f>
        <v>0</v>
      </c>
      <c r="F662" s="349">
        <f>'[1]Nota II.2.5.g'!F32</f>
        <v>286435.17</v>
      </c>
    </row>
    <row r="663" spans="1:6" x14ac:dyDescent="0.25">
      <c r="A663" s="425" t="s">
        <v>549</v>
      </c>
      <c r="B663" s="426"/>
      <c r="C663" s="350">
        <v>0</v>
      </c>
      <c r="D663" s="350">
        <f>'[1]Nota II.2.5.g'!D34</f>
        <v>122903.46</v>
      </c>
      <c r="E663" s="350">
        <f>'[1]Nota II.2.5.g'!E34</f>
        <v>1923808.1</v>
      </c>
      <c r="F663" s="349">
        <f>'[1]Nota II.2.5.g'!F34</f>
        <v>4256458.4000000004</v>
      </c>
    </row>
    <row r="664" spans="1:6" ht="13.5" thickBot="1" x14ac:dyDescent="0.3">
      <c r="A664" s="427" t="s">
        <v>550</v>
      </c>
      <c r="B664" s="428"/>
      <c r="C664" s="350">
        <f>'[1]Nota II.2.5.g'!C35</f>
        <v>122142.85</v>
      </c>
      <c r="D664" s="350">
        <f>'[1]Nota II.2.5.g'!D35</f>
        <v>11491.96</v>
      </c>
      <c r="E664" s="350">
        <f>'[1]Nota II.2.5.g'!E35</f>
        <v>2219155.21</v>
      </c>
      <c r="F664" s="349">
        <f>'[1]Nota II.2.5.g'!F35</f>
        <v>437834.59</v>
      </c>
    </row>
    <row r="665" spans="1:6" ht="13.5" thickBot="1" x14ac:dyDescent="0.3">
      <c r="A665" s="429" t="s">
        <v>268</v>
      </c>
      <c r="B665" s="430"/>
      <c r="C665" s="351">
        <f>C640+C663+C664</f>
        <v>24761006.920000002</v>
      </c>
      <c r="D665" s="351">
        <f>D640+D663+D664</f>
        <v>46210078.399999999</v>
      </c>
      <c r="E665" s="351">
        <f>E640+E663+E664</f>
        <v>159025650.13</v>
      </c>
      <c r="F665" s="224">
        <f>F640+F663+F664</f>
        <v>760581350.47000003</v>
      </c>
    </row>
    <row r="668" spans="1:6" ht="30" customHeight="1" x14ac:dyDescent="0.25">
      <c r="A668" s="431" t="s">
        <v>551</v>
      </c>
      <c r="B668" s="431"/>
      <c r="C668" s="431"/>
      <c r="D668" s="431"/>
      <c r="E668" s="432"/>
      <c r="F668" s="432"/>
    </row>
    <row r="670" spans="1:6" x14ac:dyDescent="0.25">
      <c r="A670" s="416" t="s">
        <v>552</v>
      </c>
      <c r="B670" s="416"/>
      <c r="C670" s="416"/>
      <c r="D670" s="416"/>
    </row>
    <row r="671" spans="1:6" ht="13.5" thickBot="1" x14ac:dyDescent="0.3"/>
    <row r="672" spans="1:6" ht="51.75" thickBot="1" x14ac:dyDescent="0.3">
      <c r="A672" s="417" t="s">
        <v>190</v>
      </c>
      <c r="B672" s="418"/>
      <c r="C672" s="352" t="s">
        <v>553</v>
      </c>
      <c r="D672" s="352" t="s">
        <v>554</v>
      </c>
    </row>
    <row r="673" spans="1:5" ht="13.5" thickBot="1" x14ac:dyDescent="0.3">
      <c r="A673" s="419" t="s">
        <v>555</v>
      </c>
      <c r="B673" s="420"/>
      <c r="C673" s="353">
        <f>'[1]Nota II.3.1'!C35</f>
        <v>9137</v>
      </c>
      <c r="D673" s="353">
        <f>'[1]Nota II.3.1'!D35</f>
        <v>9261</v>
      </c>
    </row>
    <row r="676" spans="1:5" x14ac:dyDescent="0.25">
      <c r="A676" s="287" t="s">
        <v>556</v>
      </c>
      <c r="B676" s="53"/>
      <c r="C676" s="53"/>
      <c r="D676" s="53"/>
      <c r="E676" s="53"/>
    </row>
    <row r="677" spans="1:5" x14ac:dyDescent="0.25">
      <c r="B677" s="354"/>
      <c r="C677" s="354"/>
    </row>
    <row r="678" spans="1:5" x14ac:dyDescent="0.25">
      <c r="A678" s="50" t="s">
        <v>557</v>
      </c>
      <c r="B678" s="354"/>
      <c r="C678" s="354"/>
    </row>
    <row r="680" spans="1:5" x14ac:dyDescent="0.25">
      <c r="A680" s="355"/>
    </row>
    <row r="681" spans="1:5" x14ac:dyDescent="0.25">
      <c r="A681" s="287" t="s">
        <v>558</v>
      </c>
      <c r="B681" s="356"/>
      <c r="C681" s="356"/>
      <c r="D681" s="356"/>
      <c r="E681" s="356"/>
    </row>
    <row r="682" spans="1:5" x14ac:dyDescent="0.25">
      <c r="B682" s="354"/>
      <c r="C682" s="354"/>
    </row>
    <row r="683" spans="1:5" x14ac:dyDescent="0.25">
      <c r="A683" s="50" t="s">
        <v>559</v>
      </c>
    </row>
    <row r="692" spans="1:7" x14ac:dyDescent="0.2">
      <c r="A692" s="153"/>
      <c r="B692" s="153"/>
      <c r="C692" s="421"/>
      <c r="D692" s="422"/>
      <c r="E692" s="153"/>
      <c r="F692" s="153"/>
    </row>
    <row r="693" spans="1:7" ht="15" x14ac:dyDescent="0.25">
      <c r="A693" s="357" t="s">
        <v>560</v>
      </c>
      <c r="B693" s="357"/>
      <c r="C693" s="383">
        <v>45747</v>
      </c>
      <c r="D693" s="383"/>
      <c r="E693" s="357"/>
      <c r="F693" s="414" t="s">
        <v>561</v>
      </c>
      <c r="G693" s="414"/>
    </row>
    <row r="694" spans="1:7" x14ac:dyDescent="0.2">
      <c r="A694" s="357" t="s">
        <v>80</v>
      </c>
      <c r="B694" s="71"/>
      <c r="C694" s="414" t="s">
        <v>78</v>
      </c>
      <c r="D694" s="415"/>
      <c r="E694" s="357"/>
      <c r="F694" s="414" t="s">
        <v>81</v>
      </c>
      <c r="G694" s="414"/>
    </row>
  </sheetData>
  <mergeCells count="463">
    <mergeCell ref="D2:E2"/>
    <mergeCell ref="A3:I3"/>
    <mergeCell ref="A4:I4"/>
    <mergeCell ref="B5:G5"/>
    <mergeCell ref="A6:A7"/>
    <mergeCell ref="B6:B7"/>
    <mergeCell ref="C6:C7"/>
    <mergeCell ref="D6:D7"/>
    <mergeCell ref="E6:E7"/>
    <mergeCell ref="F6:F7"/>
    <mergeCell ref="A33:I33"/>
    <mergeCell ref="A41:C43"/>
    <mergeCell ref="A44:C44"/>
    <mergeCell ref="A45:B45"/>
    <mergeCell ref="A46:B46"/>
    <mergeCell ref="A47:B47"/>
    <mergeCell ref="G6:G7"/>
    <mergeCell ref="H6:H7"/>
    <mergeCell ref="I6:I7"/>
    <mergeCell ref="A8:I8"/>
    <mergeCell ref="A18:I18"/>
    <mergeCell ref="A28:I28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C53"/>
    <mergeCell ref="A66:B66"/>
    <mergeCell ref="A67:C67"/>
    <mergeCell ref="A68:B68"/>
    <mergeCell ref="A69:B69"/>
    <mergeCell ref="A76:E76"/>
    <mergeCell ref="A94:E94"/>
    <mergeCell ref="A60:B60"/>
    <mergeCell ref="A61:B61"/>
    <mergeCell ref="A62:C62"/>
    <mergeCell ref="A63:B63"/>
    <mergeCell ref="A64:B64"/>
    <mergeCell ref="A65:B65"/>
    <mergeCell ref="A117:C117"/>
    <mergeCell ref="A118:C118"/>
    <mergeCell ref="A126:D126"/>
    <mergeCell ref="A127:C127"/>
    <mergeCell ref="A128:B128"/>
    <mergeCell ref="A129:B129"/>
    <mergeCell ref="A101:G101"/>
    <mergeCell ref="A102:C102"/>
    <mergeCell ref="A107:G107"/>
    <mergeCell ref="A108:C108"/>
    <mergeCell ref="A109:A110"/>
    <mergeCell ref="B109:F109"/>
    <mergeCell ref="G109:I109"/>
    <mergeCell ref="A143:I143"/>
    <mergeCell ref="A145:B145"/>
    <mergeCell ref="A146:B146"/>
    <mergeCell ref="A147:B147"/>
    <mergeCell ref="A148:B148"/>
    <mergeCell ref="A149:B149"/>
    <mergeCell ref="A130:B130"/>
    <mergeCell ref="A131:B131"/>
    <mergeCell ref="A132:B132"/>
    <mergeCell ref="A133:B133"/>
    <mergeCell ref="A134:B134"/>
    <mergeCell ref="A135:B135"/>
    <mergeCell ref="A156:B156"/>
    <mergeCell ref="A157:B157"/>
    <mergeCell ref="A158:B158"/>
    <mergeCell ref="A159:B159"/>
    <mergeCell ref="A160:B160"/>
    <mergeCell ref="A161:B161"/>
    <mergeCell ref="A150:B150"/>
    <mergeCell ref="A151:B151"/>
    <mergeCell ref="A152:B152"/>
    <mergeCell ref="A153:B153"/>
    <mergeCell ref="A154:B154"/>
    <mergeCell ref="A155:B155"/>
    <mergeCell ref="A168:B168"/>
    <mergeCell ref="A169:B169"/>
    <mergeCell ref="A170:B170"/>
    <mergeCell ref="A171:B171"/>
    <mergeCell ref="A172:B172"/>
    <mergeCell ref="A173:B173"/>
    <mergeCell ref="A162:B162"/>
    <mergeCell ref="A163:B163"/>
    <mergeCell ref="A164:B164"/>
    <mergeCell ref="A165:B165"/>
    <mergeCell ref="A166:B166"/>
    <mergeCell ref="A167:B167"/>
    <mergeCell ref="A181:B181"/>
    <mergeCell ref="A182:B182"/>
    <mergeCell ref="A183:B183"/>
    <mergeCell ref="A184:B184"/>
    <mergeCell ref="A185:B185"/>
    <mergeCell ref="A186:B186"/>
    <mergeCell ref="A174:B174"/>
    <mergeCell ref="A175:I175"/>
    <mergeCell ref="A177:I177"/>
    <mergeCell ref="A178:I178"/>
    <mergeCell ref="A179:B179"/>
    <mergeCell ref="A180:B180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5:B205"/>
    <mergeCell ref="A206:B206"/>
    <mergeCell ref="A207:B207"/>
    <mergeCell ref="A212:I212"/>
    <mergeCell ref="A214:D215"/>
    <mergeCell ref="E214:E215"/>
    <mergeCell ref="F214:H214"/>
    <mergeCell ref="I214:I215"/>
    <mergeCell ref="A199:B199"/>
    <mergeCell ref="A200:B200"/>
    <mergeCell ref="A201:B201"/>
    <mergeCell ref="A202:B202"/>
    <mergeCell ref="A203:B203"/>
    <mergeCell ref="A204:B204"/>
    <mergeCell ref="A225:G225"/>
    <mergeCell ref="A227:C227"/>
    <mergeCell ref="A228:C228"/>
    <mergeCell ref="A229:C229"/>
    <mergeCell ref="A230:C230"/>
    <mergeCell ref="A231:C231"/>
    <mergeCell ref="B216:D216"/>
    <mergeCell ref="B217:D217"/>
    <mergeCell ref="B218:D218"/>
    <mergeCell ref="B219:D219"/>
    <mergeCell ref="B220:D220"/>
    <mergeCell ref="A221:D221"/>
    <mergeCell ref="A238:C238"/>
    <mergeCell ref="A242:C242"/>
    <mergeCell ref="A244:B244"/>
    <mergeCell ref="A245:B245"/>
    <mergeCell ref="A246:B246"/>
    <mergeCell ref="A247:B247"/>
    <mergeCell ref="A232:C232"/>
    <mergeCell ref="A233:C233"/>
    <mergeCell ref="A234:C234"/>
    <mergeCell ref="A235:C235"/>
    <mergeCell ref="A236:C236"/>
    <mergeCell ref="A237:C237"/>
    <mergeCell ref="A254:B254"/>
    <mergeCell ref="A255:B255"/>
    <mergeCell ref="A256:B256"/>
    <mergeCell ref="A257:B257"/>
    <mergeCell ref="A260:F260"/>
    <mergeCell ref="A265:E265"/>
    <mergeCell ref="A248:B248"/>
    <mergeCell ref="A249:B249"/>
    <mergeCell ref="A250:B250"/>
    <mergeCell ref="A251:B251"/>
    <mergeCell ref="A252:B252"/>
    <mergeCell ref="A253:B253"/>
    <mergeCell ref="A283:B283"/>
    <mergeCell ref="E283:I283"/>
    <mergeCell ref="A284:B284"/>
    <mergeCell ref="E284:I284"/>
    <mergeCell ref="A285:B285"/>
    <mergeCell ref="E285:I285"/>
    <mergeCell ref="A278:I278"/>
    <mergeCell ref="A280:B280"/>
    <mergeCell ref="E280:I280"/>
    <mergeCell ref="A281:B281"/>
    <mergeCell ref="E281:I281"/>
    <mergeCell ref="A282:B282"/>
    <mergeCell ref="E282:I282"/>
    <mergeCell ref="A289:B289"/>
    <mergeCell ref="E289:I289"/>
    <mergeCell ref="A290:B290"/>
    <mergeCell ref="E290:I290"/>
    <mergeCell ref="A293:D293"/>
    <mergeCell ref="A295:B295"/>
    <mergeCell ref="A286:B286"/>
    <mergeCell ref="E286:I286"/>
    <mergeCell ref="A287:B287"/>
    <mergeCell ref="E287:I287"/>
    <mergeCell ref="A288:B288"/>
    <mergeCell ref="E288:I288"/>
    <mergeCell ref="A302:B302"/>
    <mergeCell ref="A303:B303"/>
    <mergeCell ref="A304:B304"/>
    <mergeCell ref="A305:B305"/>
    <mergeCell ref="A306:B306"/>
    <mergeCell ref="A310:C310"/>
    <mergeCell ref="A296:B296"/>
    <mergeCell ref="A297:B297"/>
    <mergeCell ref="A298:B298"/>
    <mergeCell ref="A299:B299"/>
    <mergeCell ref="A300:B300"/>
    <mergeCell ref="A301:B301"/>
    <mergeCell ref="A315:B315"/>
    <mergeCell ref="A316:B316"/>
    <mergeCell ref="A317:B317"/>
    <mergeCell ref="A318:B318"/>
    <mergeCell ref="A319:B319"/>
    <mergeCell ref="A320:B320"/>
    <mergeCell ref="A312:B312"/>
    <mergeCell ref="G312:H312"/>
    <mergeCell ref="A313:B313"/>
    <mergeCell ref="G313:H313"/>
    <mergeCell ref="A314:B314"/>
    <mergeCell ref="G314:H314"/>
    <mergeCell ref="A327:B327"/>
    <mergeCell ref="A328:B328"/>
    <mergeCell ref="A329:B329"/>
    <mergeCell ref="A330:B330"/>
    <mergeCell ref="A331:B331"/>
    <mergeCell ref="A332:B332"/>
    <mergeCell ref="A321:B321"/>
    <mergeCell ref="A322:B322"/>
    <mergeCell ref="A323:B323"/>
    <mergeCell ref="A324:B324"/>
    <mergeCell ref="A325:B325"/>
    <mergeCell ref="A326:B326"/>
    <mergeCell ref="A349:B349"/>
    <mergeCell ref="A350:B350"/>
    <mergeCell ref="A351:B351"/>
    <mergeCell ref="A352:B352"/>
    <mergeCell ref="A353:B353"/>
    <mergeCell ref="A354:B354"/>
    <mergeCell ref="A333:B333"/>
    <mergeCell ref="A334:B334"/>
    <mergeCell ref="A335:B335"/>
    <mergeCell ref="A345:E345"/>
    <mergeCell ref="A347:B347"/>
    <mergeCell ref="A348:B348"/>
    <mergeCell ref="A361:B361"/>
    <mergeCell ref="A364:D364"/>
    <mergeCell ref="A366:B366"/>
    <mergeCell ref="A367:B367"/>
    <mergeCell ref="A368:B368"/>
    <mergeCell ref="A371:E371"/>
    <mergeCell ref="A355:B355"/>
    <mergeCell ref="A356:B356"/>
    <mergeCell ref="A357:B357"/>
    <mergeCell ref="A358:B358"/>
    <mergeCell ref="A359:B359"/>
    <mergeCell ref="A360:B360"/>
    <mergeCell ref="A410:C410"/>
    <mergeCell ref="A412:B412"/>
    <mergeCell ref="A413:B413"/>
    <mergeCell ref="A414:B414"/>
    <mergeCell ref="A415:B415"/>
    <mergeCell ref="A416:B416"/>
    <mergeCell ref="A373:B373"/>
    <mergeCell ref="A374:B374"/>
    <mergeCell ref="A379:E379"/>
    <mergeCell ref="A384:I384"/>
    <mergeCell ref="A386:I386"/>
    <mergeCell ref="A388:A389"/>
    <mergeCell ref="B388:D388"/>
    <mergeCell ref="F388:H388"/>
    <mergeCell ref="A423:B423"/>
    <mergeCell ref="A424:B424"/>
    <mergeCell ref="A425:B425"/>
    <mergeCell ref="A428:E428"/>
    <mergeCell ref="B433:E433"/>
    <mergeCell ref="C434:E434"/>
    <mergeCell ref="A417:B417"/>
    <mergeCell ref="A418:B418"/>
    <mergeCell ref="A419:B419"/>
    <mergeCell ref="A420:B420"/>
    <mergeCell ref="A421:B421"/>
    <mergeCell ref="A422:B422"/>
    <mergeCell ref="A459:C459"/>
    <mergeCell ref="A460:C460"/>
    <mergeCell ref="A461:C461"/>
    <mergeCell ref="A462:C462"/>
    <mergeCell ref="A463:C463"/>
    <mergeCell ref="A464:C464"/>
    <mergeCell ref="A440:F440"/>
    <mergeCell ref="A442:B442"/>
    <mergeCell ref="A443:B443"/>
    <mergeCell ref="A450:D450"/>
    <mergeCell ref="A451:C451"/>
    <mergeCell ref="A458:C458"/>
    <mergeCell ref="A473:I473"/>
    <mergeCell ref="A479:C479"/>
    <mergeCell ref="A481:D481"/>
    <mergeCell ref="A482:D482"/>
    <mergeCell ref="A483:D483"/>
    <mergeCell ref="A484:D484"/>
    <mergeCell ref="A465:C465"/>
    <mergeCell ref="A466:C466"/>
    <mergeCell ref="A467:C467"/>
    <mergeCell ref="A468:C468"/>
    <mergeCell ref="A469:C469"/>
    <mergeCell ref="A470:C470"/>
    <mergeCell ref="A491:D491"/>
    <mergeCell ref="A492:D492"/>
    <mergeCell ref="A493:D493"/>
    <mergeCell ref="A494:D494"/>
    <mergeCell ref="A495:D495"/>
    <mergeCell ref="A496:D496"/>
    <mergeCell ref="A485:D485"/>
    <mergeCell ref="A486:D486"/>
    <mergeCell ref="A487:D487"/>
    <mergeCell ref="A488:D488"/>
    <mergeCell ref="A489:D489"/>
    <mergeCell ref="A490:D490"/>
    <mergeCell ref="A503:D503"/>
    <mergeCell ref="A504:D504"/>
    <mergeCell ref="A505:D505"/>
    <mergeCell ref="A506:D506"/>
    <mergeCell ref="A507:D507"/>
    <mergeCell ref="A508:D508"/>
    <mergeCell ref="A497:D497"/>
    <mergeCell ref="A498:D498"/>
    <mergeCell ref="A499:D499"/>
    <mergeCell ref="A500:D500"/>
    <mergeCell ref="A501:D501"/>
    <mergeCell ref="A502:D502"/>
    <mergeCell ref="A515:D515"/>
    <mergeCell ref="A516:D516"/>
    <mergeCell ref="A517:D517"/>
    <mergeCell ref="A518:D518"/>
    <mergeCell ref="A522:C522"/>
    <mergeCell ref="A524:D524"/>
    <mergeCell ref="A509:D509"/>
    <mergeCell ref="A510:D510"/>
    <mergeCell ref="A511:D511"/>
    <mergeCell ref="A512:D512"/>
    <mergeCell ref="A513:D513"/>
    <mergeCell ref="A514:D514"/>
    <mergeCell ref="A531:D531"/>
    <mergeCell ref="A533:H533"/>
    <mergeCell ref="A536:D536"/>
    <mergeCell ref="A538:B538"/>
    <mergeCell ref="C538:C539"/>
    <mergeCell ref="D538:D539"/>
    <mergeCell ref="A539:B539"/>
    <mergeCell ref="A525:D525"/>
    <mergeCell ref="A526:D526"/>
    <mergeCell ref="A527:D527"/>
    <mergeCell ref="A528:D528"/>
    <mergeCell ref="A529:D529"/>
    <mergeCell ref="A530:D530"/>
    <mergeCell ref="A546:B546"/>
    <mergeCell ref="A547:B547"/>
    <mergeCell ref="A548:B548"/>
    <mergeCell ref="A549:B549"/>
    <mergeCell ref="A550:B550"/>
    <mergeCell ref="A555:C555"/>
    <mergeCell ref="A540:B540"/>
    <mergeCell ref="A541:B541"/>
    <mergeCell ref="A542:B542"/>
    <mergeCell ref="A543:B543"/>
    <mergeCell ref="A544:B544"/>
    <mergeCell ref="A545:B545"/>
    <mergeCell ref="A563:D563"/>
    <mergeCell ref="A564:D564"/>
    <mergeCell ref="A565:D565"/>
    <mergeCell ref="A566:D566"/>
    <mergeCell ref="A567:D567"/>
    <mergeCell ref="A568:D568"/>
    <mergeCell ref="A557:D557"/>
    <mergeCell ref="A558:D558"/>
    <mergeCell ref="A559:D559"/>
    <mergeCell ref="A560:D560"/>
    <mergeCell ref="A561:D561"/>
    <mergeCell ref="A562:D562"/>
    <mergeCell ref="A579:D579"/>
    <mergeCell ref="A581:D581"/>
    <mergeCell ref="A582:D582"/>
    <mergeCell ref="A583:D583"/>
    <mergeCell ref="A584:D584"/>
    <mergeCell ref="A585:D585"/>
    <mergeCell ref="A569:D569"/>
    <mergeCell ref="A570:D570"/>
    <mergeCell ref="A571:D571"/>
    <mergeCell ref="A572:D572"/>
    <mergeCell ref="A573:D573"/>
    <mergeCell ref="A574:D574"/>
    <mergeCell ref="A592:D592"/>
    <mergeCell ref="A593:D593"/>
    <mergeCell ref="A594:D594"/>
    <mergeCell ref="A601:D601"/>
    <mergeCell ref="A602:D602"/>
    <mergeCell ref="A603:D603"/>
    <mergeCell ref="A586:D586"/>
    <mergeCell ref="A587:D587"/>
    <mergeCell ref="A588:D588"/>
    <mergeCell ref="A589:D589"/>
    <mergeCell ref="A590:D590"/>
    <mergeCell ref="A591:D591"/>
    <mergeCell ref="A610:D610"/>
    <mergeCell ref="A611:D611"/>
    <mergeCell ref="A612:D612"/>
    <mergeCell ref="A613:D613"/>
    <mergeCell ref="A614:D614"/>
    <mergeCell ref="A617:C617"/>
    <mergeCell ref="A604:D604"/>
    <mergeCell ref="A605:D605"/>
    <mergeCell ref="A606:D606"/>
    <mergeCell ref="A607:D607"/>
    <mergeCell ref="A608:D608"/>
    <mergeCell ref="A609:D609"/>
    <mergeCell ref="A625:D625"/>
    <mergeCell ref="A626:D626"/>
    <mergeCell ref="A627:D627"/>
    <mergeCell ref="A628:D628"/>
    <mergeCell ref="A629:D629"/>
    <mergeCell ref="A630:D630"/>
    <mergeCell ref="A619:D619"/>
    <mergeCell ref="A620:D620"/>
    <mergeCell ref="A621:D621"/>
    <mergeCell ref="A622:D622"/>
    <mergeCell ref="A623:D623"/>
    <mergeCell ref="A624:D624"/>
    <mergeCell ref="A643:B643"/>
    <mergeCell ref="A644:B644"/>
    <mergeCell ref="A645:B645"/>
    <mergeCell ref="A646:B646"/>
    <mergeCell ref="A647:B647"/>
    <mergeCell ref="A648:B648"/>
    <mergeCell ref="A636:F636"/>
    <mergeCell ref="A638:B639"/>
    <mergeCell ref="C638:F638"/>
    <mergeCell ref="A640:B640"/>
    <mergeCell ref="A641:B641"/>
    <mergeCell ref="A642:B642"/>
    <mergeCell ref="A655:B655"/>
    <mergeCell ref="A656:B656"/>
    <mergeCell ref="A657:B657"/>
    <mergeCell ref="A658:B658"/>
    <mergeCell ref="A659:B659"/>
    <mergeCell ref="A660:B660"/>
    <mergeCell ref="A649:B649"/>
    <mergeCell ref="A650:B650"/>
    <mergeCell ref="A651:B651"/>
    <mergeCell ref="A652:B652"/>
    <mergeCell ref="A653:B653"/>
    <mergeCell ref="A654:B654"/>
    <mergeCell ref="C694:D694"/>
    <mergeCell ref="F694:G694"/>
    <mergeCell ref="A670:D670"/>
    <mergeCell ref="A672:B672"/>
    <mergeCell ref="A673:B673"/>
    <mergeCell ref="C692:D692"/>
    <mergeCell ref="C693:D693"/>
    <mergeCell ref="F693:G693"/>
    <mergeCell ref="A661:B661"/>
    <mergeCell ref="A662:B662"/>
    <mergeCell ref="A663:B663"/>
    <mergeCell ref="A664:B664"/>
    <mergeCell ref="A665:B665"/>
    <mergeCell ref="A668:F668"/>
  </mergeCells>
  <pageMargins left="0.11811023622047245" right="0.11811023622047245" top="0.74803149606299213" bottom="0.74803149606299213" header="0.31496062992125984" footer="0.31496062992125984"/>
  <pageSetup paperSize="9" scale="85" firstPageNumber="15" orientation="landscape" useFirstPageNumber="1" r:id="rId1"/>
  <headerFooter>
    <oddHeader xml:space="preserve">&amp;C&amp;"-,Pogrubiony"Urząd m.st. Warszawy
&amp;"-,Standardowy"Informacja dodatkowa do sprawozdania finansowego za rok obrotowy zakończony 31 grudnia 2024 r.
II. Dodatkowe informacje i objaśnienia
</oddHeader>
    <oddFooter>&amp;R&amp;P</oddFooter>
  </headerFooter>
  <rowBreaks count="19" manualBreakCount="19">
    <brk id="35" max="16383" man="1"/>
    <brk id="73" max="16383" man="1"/>
    <brk id="98" max="16383" man="1"/>
    <brk id="122" max="16383" man="1"/>
    <brk id="140" max="16383" man="1"/>
    <brk id="239" max="16383" man="1"/>
    <brk id="275" max="16383" man="1"/>
    <brk id="306" max="16383" man="1"/>
    <brk id="342" max="16383" man="1"/>
    <brk id="381" max="16383" man="1"/>
    <brk id="407" max="16383" man="1"/>
    <brk id="442" max="16383" man="1"/>
    <brk id="475" max="16383" man="1"/>
    <brk id="519" max="16383" man="1"/>
    <brk id="552" max="16383" man="1"/>
    <brk id="576" max="16383" man="1"/>
    <brk id="596" max="16383" man="1"/>
    <brk id="633" max="16383" man="1"/>
    <brk id="6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Bilans_31.12.2024</vt:lpstr>
      <vt:lpstr>RZiS_31.12.2024</vt:lpstr>
      <vt:lpstr>ZZwFJ_31.12.2024</vt:lpstr>
      <vt:lpstr>II.Dodatk_info_31.12.2024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Urzędu Miasta Stołecznego Warszawy na dzień 31.12.2024</dc:title>
  <dc:creator>Czapska Agata</dc:creator>
  <cp:lastModifiedBy>Czapska Agata</cp:lastModifiedBy>
  <dcterms:created xsi:type="dcterms:W3CDTF">2025-05-05T10:42:08Z</dcterms:created>
  <dcterms:modified xsi:type="dcterms:W3CDTF">2025-05-06T07:27:09Z</dcterms:modified>
</cp:coreProperties>
</file>